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International Merchandise Trade Statistics\Quarterly\SEPT\"/>
    </mc:Choice>
  </mc:AlternateContent>
  <xr:revisionPtr revIDLastSave="0" documentId="13_ncr:1_{C106FA72-A5A1-4414-922B-EA36DD6AD7FE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Metadata" sheetId="2" r:id="rId1"/>
    <sheet name="Data" sheetId="1" r:id="rId2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2" i="1" l="1"/>
  <c r="AK6" i="1" l="1"/>
  <c r="AJ6" i="1" l="1"/>
  <c r="AI6" i="1" l="1"/>
  <c r="AH16" i="1" l="1"/>
  <c r="AH15" i="1"/>
  <c r="AH14" i="1"/>
  <c r="AH13" i="1"/>
  <c r="AH11" i="1"/>
  <c r="AH10" i="1"/>
  <c r="AH9" i="1"/>
  <c r="AH8" i="1"/>
  <c r="AH7" i="1"/>
  <c r="AH6" i="1" l="1"/>
  <c r="AC12" i="1" l="1"/>
  <c r="AC10" i="1"/>
  <c r="AC7" i="1"/>
  <c r="AB10" i="1"/>
  <c r="AA12" i="1"/>
  <c r="AA10" i="1"/>
  <c r="Z10" i="1"/>
  <c r="AG6" i="1" l="1"/>
  <c r="AF6" i="1"/>
  <c r="AE6" i="1"/>
  <c r="AD6" i="1"/>
  <c r="AA16" i="1" l="1"/>
  <c r="AA15" i="1"/>
  <c r="AA14" i="1"/>
  <c r="AA13" i="1"/>
  <c r="AA11" i="1"/>
  <c r="AA9" i="1"/>
  <c r="AA8" i="1"/>
  <c r="AA7" i="1"/>
  <c r="AB16" i="1"/>
  <c r="AB15" i="1"/>
  <c r="AB14" i="1"/>
  <c r="AB13" i="1"/>
  <c r="AB12" i="1"/>
  <c r="AB11" i="1"/>
  <c r="AB9" i="1"/>
  <c r="AB8" i="1"/>
  <c r="AB7" i="1"/>
  <c r="AC16" i="1"/>
  <c r="AC15" i="1"/>
  <c r="AC14" i="1"/>
  <c r="AC13" i="1"/>
  <c r="AC11" i="1"/>
  <c r="AC9" i="1"/>
  <c r="AC8" i="1"/>
  <c r="Z16" i="1"/>
  <c r="Z15" i="1"/>
  <c r="Z14" i="1"/>
  <c r="Z13" i="1"/>
  <c r="Z12" i="1"/>
  <c r="Z11" i="1"/>
  <c r="Z9" i="1"/>
  <c r="Z8" i="1"/>
  <c r="Z7" i="1"/>
  <c r="Y16" i="1"/>
  <c r="Y15" i="1"/>
  <c r="Y14" i="1"/>
  <c r="Y13" i="1"/>
  <c r="Y12" i="1"/>
  <c r="Y11" i="1"/>
  <c r="Y10" i="1"/>
  <c r="Y9" i="1"/>
  <c r="Y8" i="1"/>
  <c r="Y7" i="1"/>
  <c r="AC6" i="1" l="1"/>
  <c r="AA6" i="1"/>
  <c r="Z6" i="1"/>
  <c r="AB6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</calcChain>
</file>

<file path=xl/sharedStrings.xml><?xml version="1.0" encoding="utf-8"?>
<sst xmlns="http://schemas.openxmlformats.org/spreadsheetml/2006/main" count="87" uniqueCount="54">
  <si>
    <t>Commodity Section</t>
  </si>
  <si>
    <t>Total Import</t>
  </si>
  <si>
    <t xml:space="preserve">Food </t>
  </si>
  <si>
    <t>Beverages and Tobacco</t>
  </si>
  <si>
    <t xml:space="preserve">Crude Material Inedible </t>
  </si>
  <si>
    <t>Mineral fuels</t>
  </si>
  <si>
    <t>Animal and Vegetable Oils and Fats</t>
  </si>
  <si>
    <t>Chemicals</t>
  </si>
  <si>
    <t xml:space="preserve">Manufactured Goods </t>
  </si>
  <si>
    <t>Machinery and Transport Equipments</t>
  </si>
  <si>
    <t>Miscellaneous Manufactured Articles</t>
  </si>
  <si>
    <t>Miscellaneous Transaction</t>
  </si>
  <si>
    <t>Quarterly - Imports by Commodity Section</t>
  </si>
  <si>
    <t>BND Million</t>
  </si>
  <si>
    <t xml:space="preserve">Q1 </t>
  </si>
  <si>
    <t xml:space="preserve">Q2 </t>
  </si>
  <si>
    <t xml:space="preserve">Q3 </t>
  </si>
  <si>
    <t xml:space="preserve">Q4 </t>
  </si>
  <si>
    <t>Q4</t>
  </si>
  <si>
    <t>Q2</t>
  </si>
  <si>
    <t>Q3</t>
  </si>
  <si>
    <t>Title of dataset:</t>
  </si>
  <si>
    <t xml:space="preserve">Imports by Commodity Section
</t>
  </si>
  <si>
    <t>Definition / Concept:</t>
  </si>
  <si>
    <t xml:space="preserve">Imports comprise of goods which are brought into Brunei Darussalam.
Imports are classified according to the United Nation Standard of International Trade Classification (SITC), Revision 4.
</t>
  </si>
  <si>
    <t>Frequency:</t>
  </si>
  <si>
    <t xml:space="preserve">Quarterly
</t>
  </si>
  <si>
    <t>Unit of measure:</t>
  </si>
  <si>
    <t xml:space="preserve">BND Million
</t>
  </si>
  <si>
    <t>Level of disaggregation:</t>
  </si>
  <si>
    <t xml:space="preserve">Total Import:
- Food 
- Beverages and Tobacco
- Crude Material Inedible 
- Mineral fuels
- Animal and Vegetable Oils and Fats
- Chemicals
- Manufactured Goods
- Machinery and Transport Equipments
- Miscellaneous Manufactured Articles
- Miscellaneous Transaction
</t>
  </si>
  <si>
    <t>Footnote:</t>
  </si>
  <si>
    <t xml:space="preserve">-
</t>
  </si>
  <si>
    <t>Data source:</t>
  </si>
  <si>
    <t xml:space="preserve">Department of Economic Planning and Statistics, Ministry of Finance and Economy.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</si>
  <si>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</si>
  <si>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</si>
  <si>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</si>
  <si>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</si>
  <si>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</si>
  <si>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</si>
  <si>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>Q1</t>
  </si>
  <si>
    <t xml:space="preserve">Source: </t>
  </si>
  <si>
    <t xml:space="preserve"> - Department of Economic Planning and Statistics, Ministry of Finance and Economy</t>
  </si>
  <si>
    <t>Note:</t>
  </si>
  <si>
    <t xml:space="preserve"> - Total may not tally due to rounding</t>
  </si>
  <si>
    <t>25/11/2025</t>
  </si>
  <si>
    <t xml:space="preserve">Q1 2015 - Q3 2025
</t>
  </si>
  <si>
    <t>Q2*</t>
  </si>
  <si>
    <t>Q3*</t>
  </si>
  <si>
    <t xml:space="preserve"> - Data for Q2 2025 excludes June 2025</t>
  </si>
  <si>
    <t xml:space="preserve"> - Data for Q3 2025 excludes July 2025</t>
  </si>
  <si>
    <t xml:space="preserve">https://deps.mofe.gov.bn/e-data-library/
</t>
  </si>
  <si>
    <t xml:space="preserve">https://deps.mofe.gov.bn/terms-of-use/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</si>
</sst>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_);\(0\)"/>
    <numFmt numFmtId="166" formatCode="_(* #,##0.0_);_(* \(#,##0.0\);_(* &quot;-&quot;??_);_(@_)"/>
    <numFmt numFmtId="167" formatCode="#,##0.0"/>
    <numFmt numFmtId="168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5" fillId="0" borderId="0" xfId="0" applyFont="1"/>
    <xf numFmtId="0" fontId="2" fillId="0" borderId="0" xfId="2" applyFont="1" applyAlignment="1">
      <alignment vertical="center"/>
    </xf>
    <xf numFmtId="0" fontId="2" fillId="0" borderId="0" xfId="3" applyFont="1" applyBorder="1" applyAlignment="1" applyProtection="1">
      <alignment horizontal="right" vertical="center"/>
    </xf>
    <xf numFmtId="0" fontId="4" fillId="0" borderId="0" xfId="2" applyFont="1" applyAlignment="1" applyProtection="1">
      <alignment horizontal="left" vertical="center" wrapText="1"/>
    </xf>
    <xf numFmtId="166" fontId="2" fillId="0" borderId="0" xfId="1" applyNumberFormat="1" applyFont="1" applyBorder="1" applyAlignment="1" applyProtection="1">
      <alignment horizontal="right" vertical="center"/>
    </xf>
    <xf numFmtId="166" fontId="2" fillId="0" borderId="0" xfId="1" applyNumberFormat="1" applyFont="1" applyBorder="1" applyAlignment="1">
      <alignment horizontal="right"/>
    </xf>
    <xf numFmtId="0" fontId="4" fillId="0" borderId="1" xfId="2" applyFont="1" applyBorder="1" applyAlignment="1" applyProtection="1">
      <alignment horizontal="left" vertical="center" indent="1"/>
    </xf>
    <xf numFmtId="0" fontId="2" fillId="0" borderId="1" xfId="2" applyFont="1" applyBorder="1" applyAlignment="1" applyProtection="1">
      <alignment horizontal="left" vertical="center" indent="1"/>
    </xf>
    <xf numFmtId="166" fontId="2" fillId="0" borderId="2" xfId="1" applyNumberFormat="1" applyFont="1" applyBorder="1" applyAlignment="1">
      <alignment horizontal="right"/>
    </xf>
    <xf numFmtId="0" fontId="2" fillId="0" borderId="3" xfId="2" applyFont="1" applyBorder="1" applyAlignment="1" applyProtection="1">
      <alignment horizontal="left" vertical="center" indent="1"/>
    </xf>
    <xf numFmtId="166" fontId="2" fillId="0" borderId="4" xfId="1" applyNumberFormat="1" applyFont="1" applyBorder="1" applyAlignment="1">
      <alignment horizontal="right"/>
    </xf>
    <xf numFmtId="166" fontId="2" fillId="0" borderId="5" xfId="1" applyNumberFormat="1" applyFont="1" applyBorder="1" applyAlignment="1">
      <alignment horizontal="right"/>
    </xf>
    <xf numFmtId="165" fontId="4" fillId="0" borderId="7" xfId="3" applyNumberFormat="1" applyFont="1" applyBorder="1" applyAlignment="1">
      <alignment horizontal="center" vertical="center"/>
    </xf>
    <xf numFmtId="165" fontId="4" fillId="0" borderId="7" xfId="3" applyNumberFormat="1" applyFont="1" applyBorder="1" applyAlignment="1">
      <alignment horizontal="right" vertical="center" indent="1"/>
    </xf>
    <xf numFmtId="165" fontId="4" fillId="0" borderId="6" xfId="3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right"/>
    </xf>
    <xf numFmtId="166" fontId="2" fillId="0" borderId="3" xfId="1" applyNumberFormat="1" applyFont="1" applyBorder="1" applyAlignment="1">
      <alignment horizontal="right"/>
    </xf>
    <xf numFmtId="0" fontId="4" fillId="0" borderId="0" xfId="2" applyFont="1" applyAlignment="1">
      <alignment vertical="center"/>
    </xf>
    <xf numFmtId="165" fontId="4" fillId="0" borderId="8" xfId="3" applyNumberFormat="1" applyFont="1" applyBorder="1" applyAlignment="1">
      <alignment horizontal="center" vertical="center"/>
    </xf>
    <xf numFmtId="166" fontId="2" fillId="0" borderId="12" xfId="1" applyNumberFormat="1" applyFont="1" applyBorder="1" applyAlignment="1" applyProtection="1">
      <alignment horizontal="right" vertical="center"/>
    </xf>
    <xf numFmtId="166" fontId="2" fillId="0" borderId="13" xfId="1" applyNumberFormat="1" applyFont="1" applyBorder="1" applyAlignment="1" applyProtection="1">
      <alignment horizontal="right" vertical="center"/>
    </xf>
    <xf numFmtId="166" fontId="2" fillId="0" borderId="11" xfId="1" applyNumberFormat="1" applyFont="1" applyBorder="1" applyAlignment="1" applyProtection="1">
      <alignment horizontal="right" vertical="center"/>
    </xf>
    <xf numFmtId="165" fontId="4" fillId="0" borderId="12" xfId="3" applyNumberFormat="1" applyFont="1" applyBorder="1" applyAlignment="1">
      <alignment horizontal="center" vertical="center"/>
    </xf>
    <xf numFmtId="165" fontId="4" fillId="0" borderId="13" xfId="3" applyNumberFormat="1" applyFont="1" applyBorder="1" applyAlignment="1">
      <alignment horizontal="center" vertical="center"/>
    </xf>
    <xf numFmtId="165" fontId="4" fillId="0" borderId="11" xfId="3" applyNumberFormat="1" applyFont="1" applyBorder="1" applyAlignment="1">
      <alignment horizontal="center" vertical="center"/>
    </xf>
    <xf numFmtId="0" fontId="5" fillId="0" borderId="14" xfId="0" applyFont="1" applyFill="1" applyBorder="1" applyAlignment="1">
      <alignment vertical="top"/>
    </xf>
    <xf numFmtId="0" fontId="5" fillId="0" borderId="14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" fillId="0" borderId="14" xfId="0" applyFont="1" applyFill="1" applyBorder="1" applyAlignment="1">
      <alignment horizontal="justify" vertical="top" wrapText="1"/>
    </xf>
    <xf numFmtId="0" fontId="2" fillId="0" borderId="14" xfId="0" quotePrefix="1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left" vertical="top" wrapText="1"/>
    </xf>
    <xf numFmtId="0" fontId="8" fillId="0" borderId="14" xfId="6" applyFont="1" applyFill="1" applyBorder="1" applyAlignment="1">
      <alignment vertical="top" wrapText="1"/>
    </xf>
    <xf numFmtId="166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/>
    <xf numFmtId="168" fontId="5" fillId="0" borderId="2" xfId="0" applyNumberFormat="1" applyFont="1" applyBorder="1"/>
    <xf numFmtId="168" fontId="5" fillId="0" borderId="3" xfId="0" applyNumberFormat="1" applyFont="1" applyBorder="1"/>
    <xf numFmtId="168" fontId="5" fillId="0" borderId="4" xfId="0" applyNumberFormat="1" applyFont="1" applyBorder="1"/>
    <xf numFmtId="168" fontId="5" fillId="0" borderId="5" xfId="0" applyNumberFormat="1" applyFont="1" applyBorder="1"/>
    <xf numFmtId="167" fontId="5" fillId="0" borderId="11" xfId="0" applyNumberFormat="1" applyFont="1" applyBorder="1"/>
    <xf numFmtId="167" fontId="5" fillId="0" borderId="2" xfId="0" applyNumberFormat="1" applyFont="1" applyBorder="1"/>
    <xf numFmtId="166" fontId="5" fillId="0" borderId="0" xfId="1" applyNumberFormat="1" applyFont="1"/>
    <xf numFmtId="166" fontId="5" fillId="0" borderId="1" xfId="1" applyNumberFormat="1" applyFont="1" applyBorder="1"/>
    <xf numFmtId="166" fontId="5" fillId="0" borderId="3" xfId="1" applyNumberFormat="1" applyFont="1" applyBorder="1"/>
    <xf numFmtId="166" fontId="5" fillId="0" borderId="0" xfId="1" applyNumberFormat="1" applyFont="1" applyBorder="1"/>
    <xf numFmtId="166" fontId="5" fillId="0" borderId="4" xfId="1" applyNumberFormat="1" applyFont="1" applyBorder="1"/>
    <xf numFmtId="166" fontId="5" fillId="0" borderId="13" xfId="1" applyNumberFormat="1" applyFont="1" applyBorder="1"/>
    <xf numFmtId="166" fontId="5" fillId="0" borderId="11" xfId="1" applyNumberFormat="1" applyFont="1" applyBorder="1"/>
    <xf numFmtId="166" fontId="5" fillId="0" borderId="2" xfId="1" applyNumberFormat="1" applyFont="1" applyBorder="1"/>
    <xf numFmtId="166" fontId="5" fillId="0" borderId="5" xfId="1" applyNumberFormat="1" applyFont="1" applyBorder="1"/>
    <xf numFmtId="0" fontId="5" fillId="0" borderId="14" xfId="0" applyFont="1" applyBorder="1" applyAlignment="1">
      <alignment vertical="top"/>
    </xf>
    <xf numFmtId="14" fontId="5" fillId="0" borderId="14" xfId="0" applyNumberFormat="1" applyFont="1" applyBorder="1" applyAlignment="1">
      <alignment horizontal="left" vertical="top"/>
    </xf>
    <xf numFmtId="164" fontId="5" fillId="0" borderId="0" xfId="0" applyNumberFormat="1" applyFont="1"/>
    <xf numFmtId="166" fontId="9" fillId="0" borderId="0" xfId="0" applyNumberFormat="1" applyFont="1"/>
    <xf numFmtId="164" fontId="9" fillId="0" borderId="0" xfId="0" applyNumberFormat="1" applyFont="1"/>
    <xf numFmtId="166" fontId="5" fillId="0" borderId="1" xfId="1" applyNumberFormat="1" applyFont="1" applyFill="1" applyBorder="1"/>
    <xf numFmtId="166" fontId="5" fillId="0" borderId="0" xfId="1" applyNumberFormat="1" applyFont="1" applyFill="1" applyBorder="1"/>
    <xf numFmtId="166" fontId="5" fillId="0" borderId="2" xfId="1" applyNumberFormat="1" applyFont="1" applyFill="1" applyBorder="1"/>
    <xf numFmtId="166" fontId="2" fillId="0" borderId="0" xfId="1" applyNumberFormat="1" applyFont="1"/>
    <xf numFmtId="166" fontId="2" fillId="0" borderId="13" xfId="1" applyNumberFormat="1" applyFont="1" applyBorder="1"/>
    <xf numFmtId="166" fontId="2" fillId="0" borderId="11" xfId="1" applyNumberFormat="1" applyFont="1" applyBorder="1"/>
    <xf numFmtId="0" fontId="8" fillId="0" borderId="14" xfId="6" quotePrefix="1" applyFont="1" applyFill="1" applyBorder="1" applyAlignment="1">
      <alignment vertical="top" wrapText="1"/>
    </xf>
    <xf numFmtId="166" fontId="2" fillId="0" borderId="2" xfId="1" applyNumberFormat="1" applyFont="1" applyBorder="1" applyAlignment="1">
      <alignment horizontal="center" vertical="center"/>
    </xf>
    <xf numFmtId="166" fontId="2" fillId="0" borderId="5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6" fontId="5" fillId="0" borderId="0" xfId="1" applyNumberFormat="1" applyFont="1" applyBorder="1" applyAlignment="1">
      <alignment horizontal="center" vertical="center"/>
    </xf>
    <xf numFmtId="166" fontId="5" fillId="0" borderId="4" xfId="1" applyNumberFormat="1" applyFont="1" applyBorder="1" applyAlignment="1">
      <alignment horizontal="center" vertical="center"/>
    </xf>
    <xf numFmtId="49" fontId="5" fillId="0" borderId="0" xfId="0" quotePrefix="1" applyNumberFormat="1" applyFo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0" xfId="2" applyFont="1" applyAlignment="1" applyProtection="1">
      <alignment horizontal="left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</cellXfs>
  <cellStyles count="7">
    <cellStyle name="Comma" xfId="1" builtinId="3"/>
    <cellStyle name="Comma 2" xfId="5" xr:uid="{00000000-0005-0000-0000-000001000000}"/>
    <cellStyle name="Hyperlink" xfId="6" builtinId="8"/>
    <cellStyle name="Normal" xfId="0" builtinId="0"/>
    <cellStyle name="Normal 2" xfId="4" xr:uid="{00000000-0005-0000-0000-000004000000}"/>
    <cellStyle name="Normal_6" xfId="3" xr:uid="{00000000-0005-0000-0000-000005000000}"/>
    <cellStyle name="Normal_6_1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ps.mofe.gov.bn/terms-of-us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3"/>
  <sheetViews>
    <sheetView topLeftCell="A4" workbookViewId="0">
      <selection activeCell="C13" sqref="C13"/>
    </sheetView>
  </sheetViews>
  <sheetFormatPr defaultColWidth="8.7109375" defaultRowHeight="15" x14ac:dyDescent="0.25"/>
  <cols>
    <col min="1" max="1" width="5.5703125" style="29" customWidth="1"/>
    <col min="2" max="2" width="52.5703125" style="29" customWidth="1"/>
    <col min="3" max="3" width="87.5703125" style="29" customWidth="1"/>
    <col min="4" max="4" width="16" style="29" customWidth="1"/>
    <col min="5" max="16384" width="8.7109375" style="29"/>
  </cols>
  <sheetData>
    <row r="2" spans="2:4" ht="30" x14ac:dyDescent="0.25">
      <c r="B2" s="26" t="s">
        <v>21</v>
      </c>
      <c r="C2" s="27" t="s">
        <v>22</v>
      </c>
      <c r="D2" s="28"/>
    </row>
    <row r="3" spans="2:4" ht="60" x14ac:dyDescent="0.25">
      <c r="B3" s="26" t="s">
        <v>23</v>
      </c>
      <c r="C3" s="30" t="s">
        <v>24</v>
      </c>
    </row>
    <row r="4" spans="2:4" ht="30" x14ac:dyDescent="0.25">
      <c r="B4" s="26" t="s">
        <v>25</v>
      </c>
      <c r="C4" s="27" t="s">
        <v>26</v>
      </c>
    </row>
    <row r="5" spans="2:4" ht="30" x14ac:dyDescent="0.25">
      <c r="B5" s="26" t="s">
        <v>27</v>
      </c>
      <c r="C5" s="27" t="s">
        <v>28</v>
      </c>
    </row>
    <row r="6" spans="2:4" ht="180" x14ac:dyDescent="0.25">
      <c r="B6" s="26" t="s">
        <v>29</v>
      </c>
      <c r="C6" s="27" t="s">
        <v>30</v>
      </c>
    </row>
    <row r="7" spans="2:4" ht="30" x14ac:dyDescent="0.25">
      <c r="B7" s="26" t="s">
        <v>31</v>
      </c>
      <c r="C7" s="31" t="s">
        <v>32</v>
      </c>
    </row>
    <row r="8" spans="2:4" ht="30" x14ac:dyDescent="0.25">
      <c r="B8" s="26" t="s">
        <v>33</v>
      </c>
      <c r="C8" s="32" t="s">
        <v>34</v>
      </c>
    </row>
    <row r="9" spans="2:4" ht="30" x14ac:dyDescent="0.25">
      <c r="B9" s="26" t="s">
        <v>35</v>
      </c>
      <c r="C9" s="27" t="s">
        <v>47</v>
      </c>
    </row>
    <row r="10" spans="2:4" ht="30" x14ac:dyDescent="0.25">
      <c r="B10" s="26" t="s">
        <v>36</v>
      </c>
      <c r="C10" s="63" t="s">
        <v>52</v>
      </c>
    </row>
    <row r="11" spans="2:4" ht="30" x14ac:dyDescent="0.25">
      <c r="B11" s="26" t="s">
        <v>37</v>
      </c>
      <c r="C11" s="27" t="s">
        <v>38</v>
      </c>
    </row>
    <row r="12" spans="2:4" ht="30" x14ac:dyDescent="0.25">
      <c r="B12" s="26" t="s">
        <v>39</v>
      </c>
      <c r="C12" s="33" t="s">
        <v>53</v>
      </c>
    </row>
    <row r="13" spans="2:4" ht="30" customHeight="1" x14ac:dyDescent="0.25">
      <c r="B13" s="52" t="s">
        <v>40</v>
      </c>
      <c r="C13" s="53" t="s">
        <v>46</v>
      </c>
    </row>
  </sheetData>
  <hyperlinks>
    <hyperlink ref="C12" r:id="rId1" xr:uid="{24588CE9-ECF8-4A12-AE39-C6DB05FA57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24"/>
  <sheetViews>
    <sheetView tabSelected="1" zoomScale="90" zoomScaleNormal="90" workbookViewId="0">
      <pane xSplit="1" ySplit="1" topLeftCell="AL2" activePane="bottomRight" state="frozen"/>
      <selection pane="topRight" activeCell="B1" sqref="B1"/>
      <selection pane="bottomLeft" activeCell="A2" sqref="A2"/>
      <selection pane="bottomRight" activeCell="AR16" sqref="AR16"/>
    </sheetView>
  </sheetViews>
  <sheetFormatPr defaultColWidth="9.140625" defaultRowHeight="15.75" x14ac:dyDescent="0.25"/>
  <cols>
    <col min="1" max="1" width="47.7109375" style="1" customWidth="1"/>
    <col min="2" max="9" width="13" style="1" customWidth="1"/>
    <col min="10" max="10" width="13" customWidth="1"/>
    <col min="11" max="44" width="13" style="1" customWidth="1"/>
    <col min="45" max="45" width="10.28515625" style="1" customWidth="1"/>
    <col min="46" max="49" width="10.28515625" style="43" bestFit="1" customWidth="1"/>
    <col min="50" max="52" width="14.28515625" style="1" bestFit="1" customWidth="1"/>
    <col min="53" max="53" width="15.5703125" style="1" bestFit="1" customWidth="1"/>
    <col min="54" max="60" width="14.28515625" style="1" bestFit="1" customWidth="1"/>
    <col min="61" max="16384" width="9.140625" style="1"/>
  </cols>
  <sheetData>
    <row r="1" spans="1:52" ht="15.75" customHeight="1" x14ac:dyDescent="0.25">
      <c r="A1" s="76" t="s">
        <v>12</v>
      </c>
      <c r="B1" s="76"/>
      <c r="C1" s="76"/>
      <c r="D1" s="76"/>
      <c r="E1" s="76"/>
    </row>
    <row r="2" spans="1:52" ht="15.75" customHeight="1" x14ac:dyDescent="0.25">
      <c r="A2" s="4"/>
      <c r="B2" s="4"/>
      <c r="C2" s="4"/>
      <c r="D2" s="4"/>
      <c r="E2" s="4"/>
    </row>
    <row r="3" spans="1:52" x14ac:dyDescent="0.25">
      <c r="A3" s="18" t="s">
        <v>13</v>
      </c>
      <c r="B3" s="2"/>
      <c r="C3" s="3"/>
      <c r="D3" s="3"/>
      <c r="E3" s="3"/>
    </row>
    <row r="4" spans="1:52" x14ac:dyDescent="0.25">
      <c r="A4" s="80" t="s">
        <v>0</v>
      </c>
      <c r="B4" s="77">
        <v>2015</v>
      </c>
      <c r="C4" s="78"/>
      <c r="D4" s="78"/>
      <c r="E4" s="79"/>
      <c r="F4" s="70">
        <v>2016</v>
      </c>
      <c r="G4" s="71"/>
      <c r="H4" s="71"/>
      <c r="I4" s="72"/>
      <c r="J4" s="70">
        <v>2017</v>
      </c>
      <c r="K4" s="71"/>
      <c r="L4" s="71"/>
      <c r="M4" s="72"/>
      <c r="N4" s="70">
        <v>2018</v>
      </c>
      <c r="O4" s="71"/>
      <c r="P4" s="71"/>
      <c r="Q4" s="72"/>
      <c r="R4" s="70">
        <v>2019</v>
      </c>
      <c r="S4" s="71"/>
      <c r="T4" s="71"/>
      <c r="U4" s="72"/>
      <c r="V4" s="73">
        <v>2020</v>
      </c>
      <c r="W4" s="74"/>
      <c r="X4" s="74"/>
      <c r="Y4" s="75"/>
      <c r="Z4" s="73">
        <v>2021</v>
      </c>
      <c r="AA4" s="74"/>
      <c r="AB4" s="74"/>
      <c r="AC4" s="75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0">
        <v>2024</v>
      </c>
      <c r="AM4" s="71"/>
      <c r="AN4" s="71"/>
      <c r="AO4" s="72"/>
      <c r="AP4" s="71">
        <v>2025</v>
      </c>
      <c r="AQ4" s="71"/>
      <c r="AR4" s="72"/>
    </row>
    <row r="5" spans="1:52" x14ac:dyDescent="0.2">
      <c r="A5" s="81"/>
      <c r="B5" s="15" t="s">
        <v>14</v>
      </c>
      <c r="C5" s="13" t="s">
        <v>15</v>
      </c>
      <c r="D5" s="13" t="s">
        <v>16</v>
      </c>
      <c r="E5" s="19" t="s">
        <v>17</v>
      </c>
      <c r="F5" s="13" t="s">
        <v>14</v>
      </c>
      <c r="G5" s="13" t="s">
        <v>15</v>
      </c>
      <c r="H5" s="13" t="s">
        <v>16</v>
      </c>
      <c r="I5" s="13" t="s">
        <v>17</v>
      </c>
      <c r="J5" s="15" t="s">
        <v>14</v>
      </c>
      <c r="K5" s="13" t="s">
        <v>15</v>
      </c>
      <c r="L5" s="13" t="s">
        <v>16</v>
      </c>
      <c r="M5" s="19" t="s">
        <v>18</v>
      </c>
      <c r="N5" s="14" t="s">
        <v>14</v>
      </c>
      <c r="O5" s="14" t="s">
        <v>15</v>
      </c>
      <c r="P5" s="14" t="s">
        <v>16</v>
      </c>
      <c r="Q5" s="13" t="s">
        <v>17</v>
      </c>
      <c r="R5" s="15" t="s">
        <v>14</v>
      </c>
      <c r="S5" s="13" t="s">
        <v>15</v>
      </c>
      <c r="T5" s="13" t="s">
        <v>16</v>
      </c>
      <c r="U5" s="13" t="s">
        <v>17</v>
      </c>
      <c r="V5" s="23" t="s">
        <v>14</v>
      </c>
      <c r="W5" s="24" t="s">
        <v>19</v>
      </c>
      <c r="X5" s="24" t="s">
        <v>20</v>
      </c>
      <c r="Y5" s="25" t="s">
        <v>18</v>
      </c>
      <c r="Z5" s="23" t="s">
        <v>14</v>
      </c>
      <c r="AA5" s="24" t="s">
        <v>19</v>
      </c>
      <c r="AB5" s="24" t="s">
        <v>20</v>
      </c>
      <c r="AC5" s="25" t="s">
        <v>18</v>
      </c>
      <c r="AD5" s="15" t="s">
        <v>14</v>
      </c>
      <c r="AE5" s="13" t="s">
        <v>19</v>
      </c>
      <c r="AF5" s="13" t="s">
        <v>20</v>
      </c>
      <c r="AG5" s="19" t="s">
        <v>18</v>
      </c>
      <c r="AH5" s="15" t="s">
        <v>14</v>
      </c>
      <c r="AI5" s="13" t="s">
        <v>19</v>
      </c>
      <c r="AJ5" s="13" t="s">
        <v>20</v>
      </c>
      <c r="AK5" s="19" t="s">
        <v>18</v>
      </c>
      <c r="AL5" s="15" t="s">
        <v>41</v>
      </c>
      <c r="AM5" s="13" t="s">
        <v>19</v>
      </c>
      <c r="AN5" s="13" t="s">
        <v>20</v>
      </c>
      <c r="AO5" s="19" t="s">
        <v>18</v>
      </c>
      <c r="AP5" s="13" t="s">
        <v>41</v>
      </c>
      <c r="AQ5" s="13" t="s">
        <v>48</v>
      </c>
      <c r="AR5" s="19" t="s">
        <v>49</v>
      </c>
    </row>
    <row r="6" spans="1:52" x14ac:dyDescent="0.2">
      <c r="A6" s="7" t="s">
        <v>1</v>
      </c>
      <c r="B6" s="20">
        <v>899.30937800000004</v>
      </c>
      <c r="C6" s="21">
        <v>1183.686545</v>
      </c>
      <c r="D6" s="21">
        <v>1357.012774</v>
      </c>
      <c r="E6" s="22">
        <v>1007.537964</v>
      </c>
      <c r="F6" s="5">
        <v>979.112212</v>
      </c>
      <c r="G6" s="5">
        <v>967.84132899999997</v>
      </c>
      <c r="H6" s="5">
        <v>843.47905100000003</v>
      </c>
      <c r="I6" s="5">
        <v>898.53696100000002</v>
      </c>
      <c r="J6" s="20">
        <v>996.69895299999996</v>
      </c>
      <c r="K6" s="21">
        <v>1054.1128679999999</v>
      </c>
      <c r="L6" s="21">
        <v>1147.780475</v>
      </c>
      <c r="M6" s="22">
        <v>1058.2381069999999</v>
      </c>
      <c r="N6" s="20">
        <v>1041.722745</v>
      </c>
      <c r="O6" s="21">
        <v>1437.0763489999999</v>
      </c>
      <c r="P6" s="21">
        <v>1496.381965</v>
      </c>
      <c r="Q6" s="22">
        <v>1647.1260050000001</v>
      </c>
      <c r="R6" s="20">
        <v>1231.091531</v>
      </c>
      <c r="S6" s="21">
        <v>1589.4340239999999</v>
      </c>
      <c r="T6" s="21">
        <v>1257.263432</v>
      </c>
      <c r="U6" s="21">
        <v>2879.118097</v>
      </c>
      <c r="V6" s="20">
        <v>1351.617403</v>
      </c>
      <c r="W6" s="21">
        <v>1449.2</v>
      </c>
      <c r="X6" s="21">
        <v>2171.8000000000002</v>
      </c>
      <c r="Y6" s="22">
        <v>2366</v>
      </c>
      <c r="Z6" s="20">
        <f>SUM(Z7:Z16)</f>
        <v>2002.6739329999998</v>
      </c>
      <c r="AA6" s="21">
        <f t="shared" ref="AA6:AC6" si="0">SUM(AA7:AA16)</f>
        <v>2428.090275</v>
      </c>
      <c r="AB6" s="21">
        <f t="shared" si="0"/>
        <v>2563.017343</v>
      </c>
      <c r="AC6" s="22">
        <f t="shared" si="0"/>
        <v>2727.899007</v>
      </c>
      <c r="AD6" s="35">
        <f>SUM(AD7:AD16)</f>
        <v>2569.6976419999996</v>
      </c>
      <c r="AE6" s="35">
        <f t="shared" ref="AE6:AG6" si="1">SUM(AE7:AE16)</f>
        <v>3714.3053859999995</v>
      </c>
      <c r="AF6" s="35">
        <f t="shared" si="1"/>
        <v>3143.1272380000009</v>
      </c>
      <c r="AG6" s="41">
        <f t="shared" si="1"/>
        <v>3237.1937149999999</v>
      </c>
      <c r="AH6" s="60">
        <f t="shared" ref="AH6:AK6" si="2">SUM(AH7:AH16)</f>
        <v>2258.5111630000001</v>
      </c>
      <c r="AI6" s="60">
        <f t="shared" si="2"/>
        <v>2323.0319510000004</v>
      </c>
      <c r="AJ6" s="61">
        <f t="shared" si="2"/>
        <v>2624.4779410000006</v>
      </c>
      <c r="AK6" s="62">
        <f t="shared" si="2"/>
        <v>2801.2171789999998</v>
      </c>
      <c r="AL6" s="44">
        <v>2569.4652059999999</v>
      </c>
      <c r="AM6" s="46">
        <v>2668.4888110000002</v>
      </c>
      <c r="AN6" s="48">
        <v>2386.2685719999995</v>
      </c>
      <c r="AO6" s="49">
        <v>2129.5995010000001</v>
      </c>
      <c r="AP6" s="48">
        <v>2136.7205789999998</v>
      </c>
      <c r="AQ6" s="48">
        <v>1546.8106889999999</v>
      </c>
      <c r="AR6" s="62">
        <v>1267.7693149999998</v>
      </c>
      <c r="AX6" s="36"/>
      <c r="AY6" s="36"/>
      <c r="AZ6" s="36"/>
    </row>
    <row r="7" spans="1:52" ht="15" x14ac:dyDescent="0.2">
      <c r="A7" s="8" t="s">
        <v>2</v>
      </c>
      <c r="B7" s="16">
        <v>138.63810000000001</v>
      </c>
      <c r="C7" s="6">
        <v>161.27017599999999</v>
      </c>
      <c r="D7" s="6">
        <v>146.73124899999999</v>
      </c>
      <c r="E7" s="9">
        <v>163.66617500000001</v>
      </c>
      <c r="F7" s="6">
        <v>156.02929</v>
      </c>
      <c r="G7" s="6">
        <v>158.31256300000001</v>
      </c>
      <c r="H7" s="6">
        <v>136.02402799999999</v>
      </c>
      <c r="I7" s="6">
        <v>149.08770100000001</v>
      </c>
      <c r="J7" s="16">
        <v>147.080387</v>
      </c>
      <c r="K7" s="6">
        <v>147.62040300000001</v>
      </c>
      <c r="L7" s="6">
        <v>138.12474599999999</v>
      </c>
      <c r="M7" s="9">
        <v>132.266333</v>
      </c>
      <c r="N7" s="16">
        <v>153.580184</v>
      </c>
      <c r="O7" s="6">
        <v>162.784289</v>
      </c>
      <c r="P7" s="6">
        <v>146.360941</v>
      </c>
      <c r="Q7" s="9">
        <v>149.313119</v>
      </c>
      <c r="R7" s="16">
        <v>151.91163299999999</v>
      </c>
      <c r="S7" s="6">
        <v>173.82972100000001</v>
      </c>
      <c r="T7" s="6">
        <v>151.73017400000001</v>
      </c>
      <c r="U7" s="6">
        <v>139.42050900000001</v>
      </c>
      <c r="V7" s="16">
        <v>129.711365</v>
      </c>
      <c r="W7" s="6">
        <f>151087502/1000000</f>
        <v>151.087502</v>
      </c>
      <c r="X7" s="6">
        <f>202464342/1000000</f>
        <v>202.46434199999999</v>
      </c>
      <c r="Y7" s="9">
        <f>224530307/1000000</f>
        <v>224.53030699999999</v>
      </c>
      <c r="Z7" s="16">
        <f>191467336/1000000</f>
        <v>191.46733599999999</v>
      </c>
      <c r="AA7" s="6">
        <f>198752978/1000000</f>
        <v>198.75297800000001</v>
      </c>
      <c r="AB7" s="6">
        <f>164835859/1000000</f>
        <v>164.835859</v>
      </c>
      <c r="AC7" s="9">
        <f>178330377/1000000</f>
        <v>178.330377</v>
      </c>
      <c r="AD7" s="36">
        <v>182.41467299999999</v>
      </c>
      <c r="AE7" s="36">
        <v>211.856976</v>
      </c>
      <c r="AF7" s="36">
        <v>195.81250700000001</v>
      </c>
      <c r="AG7" s="37">
        <v>202.826607</v>
      </c>
      <c r="AH7" s="44">
        <f>199003394/1000000</f>
        <v>199.00339399999999</v>
      </c>
      <c r="AI7" s="46">
        <v>188.66289399999999</v>
      </c>
      <c r="AJ7" s="46">
        <v>175.229939</v>
      </c>
      <c r="AK7" s="50">
        <v>172.232879</v>
      </c>
      <c r="AL7" s="44">
        <v>180.35451</v>
      </c>
      <c r="AM7" s="46">
        <v>180.797347</v>
      </c>
      <c r="AN7" s="46">
        <v>215.187489</v>
      </c>
      <c r="AO7" s="50">
        <v>198.98454799999999</v>
      </c>
      <c r="AP7" s="46">
        <v>182.766471</v>
      </c>
      <c r="AQ7" s="67">
        <v>127.155985</v>
      </c>
      <c r="AR7" s="64">
        <v>114.447908</v>
      </c>
      <c r="AX7" s="36"/>
      <c r="AY7" s="36"/>
      <c r="AZ7" s="36"/>
    </row>
    <row r="8" spans="1:52" ht="15" x14ac:dyDescent="0.2">
      <c r="A8" s="8" t="s">
        <v>3</v>
      </c>
      <c r="B8" s="16">
        <v>14.441470000000001</v>
      </c>
      <c r="C8" s="6">
        <v>20.311254000000002</v>
      </c>
      <c r="D8" s="6">
        <v>17.943553000000001</v>
      </c>
      <c r="E8" s="9">
        <v>16.019611000000001</v>
      </c>
      <c r="F8" s="6">
        <v>17.275068000000001</v>
      </c>
      <c r="G8" s="6">
        <v>23.800032000000002</v>
      </c>
      <c r="H8" s="6">
        <v>14.884945</v>
      </c>
      <c r="I8" s="6">
        <v>12.934798000000001</v>
      </c>
      <c r="J8" s="16">
        <v>18.263273000000002</v>
      </c>
      <c r="K8" s="6">
        <v>12.082534000000001</v>
      </c>
      <c r="L8" s="6">
        <v>8.6988880000000002</v>
      </c>
      <c r="M8" s="9">
        <v>10.508772</v>
      </c>
      <c r="N8" s="16">
        <v>10.637043</v>
      </c>
      <c r="O8" s="6">
        <v>12.965306999999999</v>
      </c>
      <c r="P8" s="6">
        <v>13.488481999999999</v>
      </c>
      <c r="Q8" s="9">
        <v>12.84294</v>
      </c>
      <c r="R8" s="16">
        <v>13.212694000000001</v>
      </c>
      <c r="S8" s="6">
        <v>17.748795999999999</v>
      </c>
      <c r="T8" s="6">
        <v>13.249065</v>
      </c>
      <c r="U8" s="6">
        <v>12.652866</v>
      </c>
      <c r="V8" s="16">
        <v>12.294267</v>
      </c>
      <c r="W8" s="6">
        <f>15945671/1000000</f>
        <v>15.945671000000001</v>
      </c>
      <c r="X8" s="6">
        <f>14598737/1000000</f>
        <v>14.598737</v>
      </c>
      <c r="Y8" s="9">
        <f>16545431/1000000</f>
        <v>16.545431000000001</v>
      </c>
      <c r="Z8" s="16">
        <f>18903526/1000000</f>
        <v>18.903525999999999</v>
      </c>
      <c r="AA8" s="6">
        <f>19273159/1000000</f>
        <v>19.273159</v>
      </c>
      <c r="AB8" s="6">
        <f>14701492/1000000</f>
        <v>14.701492</v>
      </c>
      <c r="AC8" s="9">
        <f>13390026/1000000</f>
        <v>13.390026000000001</v>
      </c>
      <c r="AD8" s="36">
        <v>18.421164000000001</v>
      </c>
      <c r="AE8" s="36">
        <v>16.082127</v>
      </c>
      <c r="AF8" s="36">
        <v>13.957687</v>
      </c>
      <c r="AG8" s="37">
        <v>16.248021999999999</v>
      </c>
      <c r="AH8" s="44">
        <f>19849226/1000000</f>
        <v>19.849226000000002</v>
      </c>
      <c r="AI8" s="46">
        <v>15.578794</v>
      </c>
      <c r="AJ8" s="58">
        <v>13.156974</v>
      </c>
      <c r="AK8" s="50">
        <v>12.694245</v>
      </c>
      <c r="AL8" s="44">
        <v>15.278855999999999</v>
      </c>
      <c r="AM8" s="46">
        <v>10.945959</v>
      </c>
      <c r="AN8" s="46">
        <v>10.991107</v>
      </c>
      <c r="AO8" s="50">
        <v>11.688814000000001</v>
      </c>
      <c r="AP8" s="46">
        <v>13.587198000000001</v>
      </c>
      <c r="AQ8" s="67">
        <v>7.3602530000000002</v>
      </c>
      <c r="AR8" s="64">
        <v>6.7453940000000001</v>
      </c>
      <c r="AX8" s="36"/>
      <c r="AY8" s="36"/>
      <c r="AZ8" s="36"/>
    </row>
    <row r="9" spans="1:52" ht="15" x14ac:dyDescent="0.2">
      <c r="A9" s="8" t="s">
        <v>4</v>
      </c>
      <c r="B9" s="16">
        <v>10.326739999999999</v>
      </c>
      <c r="C9" s="6">
        <v>12.907895999999999</v>
      </c>
      <c r="D9" s="6">
        <v>14.536652</v>
      </c>
      <c r="E9" s="9">
        <v>17.703471</v>
      </c>
      <c r="F9" s="6">
        <v>13.304076999999999</v>
      </c>
      <c r="G9" s="6">
        <v>13.227803</v>
      </c>
      <c r="H9" s="6">
        <v>9.6485640000000004</v>
      </c>
      <c r="I9" s="6">
        <v>10.799823</v>
      </c>
      <c r="J9" s="16">
        <v>9.5349009999999996</v>
      </c>
      <c r="K9" s="6">
        <v>26.640515000000001</v>
      </c>
      <c r="L9" s="6">
        <v>11.892023</v>
      </c>
      <c r="M9" s="9">
        <v>14.963723</v>
      </c>
      <c r="N9" s="16">
        <v>14.390254000000001</v>
      </c>
      <c r="O9" s="6">
        <v>16.202238999999999</v>
      </c>
      <c r="P9" s="6">
        <v>10.926515</v>
      </c>
      <c r="Q9" s="9">
        <v>10.898771</v>
      </c>
      <c r="R9" s="16">
        <v>6.1456390000000001</v>
      </c>
      <c r="S9" s="6">
        <v>9.5941229999999997</v>
      </c>
      <c r="T9" s="6">
        <v>8.6501059999999992</v>
      </c>
      <c r="U9" s="6">
        <v>7.5963339999999997</v>
      </c>
      <c r="V9" s="16">
        <v>5.6722260000000002</v>
      </c>
      <c r="W9" s="6">
        <f>6668332/1000000</f>
        <v>6.6683320000000004</v>
      </c>
      <c r="X9" s="6">
        <f>6399423/1000000</f>
        <v>6.3994229999999996</v>
      </c>
      <c r="Y9" s="9">
        <f>4739947/1000000</f>
        <v>4.7399469999999999</v>
      </c>
      <c r="Z9" s="16">
        <f>5521260/1000000</f>
        <v>5.5212599999999998</v>
      </c>
      <c r="AA9" s="6">
        <f>56534457/1000000</f>
        <v>56.534457000000003</v>
      </c>
      <c r="AB9" s="6">
        <f>8442440/1000000</f>
        <v>8.4424399999999995</v>
      </c>
      <c r="AC9" s="9">
        <f>12630050/1000000</f>
        <v>12.630050000000001</v>
      </c>
      <c r="AD9" s="36">
        <v>10.852449999999999</v>
      </c>
      <c r="AE9" s="36">
        <v>74.208753000000002</v>
      </c>
      <c r="AF9" s="36">
        <v>9.5555620000000001</v>
      </c>
      <c r="AG9" s="37">
        <v>11.578765000000001</v>
      </c>
      <c r="AH9" s="44">
        <f>5766800/1000000</f>
        <v>5.7667999999999999</v>
      </c>
      <c r="AI9" s="46">
        <v>9.6080670000000001</v>
      </c>
      <c r="AJ9" s="58">
        <v>8.6746770000000009</v>
      </c>
      <c r="AK9" s="50">
        <v>8.0811329999999995</v>
      </c>
      <c r="AL9" s="44">
        <v>10.412277</v>
      </c>
      <c r="AM9" s="46">
        <v>5.3112219999999999</v>
      </c>
      <c r="AN9" s="46">
        <v>11.365368</v>
      </c>
      <c r="AO9" s="50">
        <v>6.4773530000000008</v>
      </c>
      <c r="AP9" s="46">
        <v>7.7009679999999996</v>
      </c>
      <c r="AQ9" s="67">
        <v>4.0032199999999998</v>
      </c>
      <c r="AR9" s="64">
        <v>6.475638</v>
      </c>
      <c r="AX9" s="36"/>
      <c r="AY9" s="36"/>
      <c r="AZ9" s="36"/>
    </row>
    <row r="10" spans="1:52" ht="15" x14ac:dyDescent="0.2">
      <c r="A10" s="8" t="s">
        <v>5</v>
      </c>
      <c r="B10" s="16">
        <v>51.633136999999998</v>
      </c>
      <c r="C10" s="6">
        <v>83.353042000000002</v>
      </c>
      <c r="D10" s="6">
        <v>59.290272000000002</v>
      </c>
      <c r="E10" s="9">
        <v>75.491390999999993</v>
      </c>
      <c r="F10" s="6">
        <v>100.463357</v>
      </c>
      <c r="G10" s="6">
        <v>64.478904999999997</v>
      </c>
      <c r="H10" s="6">
        <v>65.432798000000005</v>
      </c>
      <c r="I10" s="6">
        <v>83.997974999999997</v>
      </c>
      <c r="J10" s="16">
        <v>85.626501000000005</v>
      </c>
      <c r="K10" s="6">
        <v>91.042372</v>
      </c>
      <c r="L10" s="6">
        <v>111.35588300000001</v>
      </c>
      <c r="M10" s="9">
        <v>78.404138000000003</v>
      </c>
      <c r="N10" s="16">
        <v>61.207262999999998</v>
      </c>
      <c r="O10" s="6">
        <v>71.493125000000006</v>
      </c>
      <c r="P10" s="6">
        <v>114.300667</v>
      </c>
      <c r="Q10" s="9">
        <v>123.272935</v>
      </c>
      <c r="R10" s="16">
        <v>97.264122999999998</v>
      </c>
      <c r="S10" s="6">
        <v>483.82661300000001</v>
      </c>
      <c r="T10" s="6">
        <v>136.51640399999999</v>
      </c>
      <c r="U10" s="6">
        <v>1624.029963</v>
      </c>
      <c r="V10" s="16">
        <v>502.00650100000001</v>
      </c>
      <c r="W10" s="6">
        <f>278026166/1000000</f>
        <v>278.02616599999999</v>
      </c>
      <c r="X10" s="6">
        <f>845945164/1000000</f>
        <v>845.94516399999998</v>
      </c>
      <c r="Y10" s="9">
        <f>1053638377/1000000</f>
        <v>1053.638377</v>
      </c>
      <c r="Z10" s="16">
        <f>1020096596/1000000</f>
        <v>1020.096596</v>
      </c>
      <c r="AA10" s="6">
        <f>1426525325/1000000</f>
        <v>1426.5253250000001</v>
      </c>
      <c r="AB10" s="6">
        <f>1613867722/1000000</f>
        <v>1613.867722</v>
      </c>
      <c r="AC10" s="9">
        <f>1771810725/1000000</f>
        <v>1771.810725</v>
      </c>
      <c r="AD10" s="35">
        <v>1651.8986259999999</v>
      </c>
      <c r="AE10" s="35">
        <v>2624.769542</v>
      </c>
      <c r="AF10" s="35">
        <v>2139.6179010000001</v>
      </c>
      <c r="AG10" s="42">
        <v>2167.1107480000001</v>
      </c>
      <c r="AH10" s="44">
        <f>1220759297/1000000</f>
        <v>1220.7592970000001</v>
      </c>
      <c r="AI10" s="58">
        <v>1444.1708900000001</v>
      </c>
      <c r="AJ10" s="58">
        <v>1693.312392</v>
      </c>
      <c r="AK10" s="59">
        <v>1961.8319919999999</v>
      </c>
      <c r="AL10" s="44">
        <v>1692.0124979999998</v>
      </c>
      <c r="AM10" s="46">
        <v>1925.9818900000005</v>
      </c>
      <c r="AN10" s="46">
        <v>1519.288425</v>
      </c>
      <c r="AO10" s="50">
        <v>1296.4423710000001</v>
      </c>
      <c r="AP10" s="46">
        <v>1446.278577</v>
      </c>
      <c r="AQ10" s="67">
        <v>1041.134528</v>
      </c>
      <c r="AR10" s="64">
        <v>726.88429299999996</v>
      </c>
      <c r="AX10" s="36"/>
      <c r="AY10" s="36"/>
      <c r="AZ10" s="36"/>
    </row>
    <row r="11" spans="1:52" ht="15" x14ac:dyDescent="0.2">
      <c r="A11" s="8" t="s">
        <v>6</v>
      </c>
      <c r="B11" s="16">
        <v>4.2115429999999998</v>
      </c>
      <c r="C11" s="6">
        <v>5.0026279999999996</v>
      </c>
      <c r="D11" s="6">
        <v>4.3185440000000002</v>
      </c>
      <c r="E11" s="9">
        <v>3.8438720000000002</v>
      </c>
      <c r="F11" s="6">
        <v>4.1912640000000003</v>
      </c>
      <c r="G11" s="6">
        <v>4.5003419999999998</v>
      </c>
      <c r="H11" s="6">
        <v>3.9502830000000002</v>
      </c>
      <c r="I11" s="6">
        <v>3.606611</v>
      </c>
      <c r="J11" s="16">
        <v>5.0907030000000004</v>
      </c>
      <c r="K11" s="6">
        <v>5.6789300000000003</v>
      </c>
      <c r="L11" s="6">
        <v>5.7047819999999998</v>
      </c>
      <c r="M11" s="9">
        <v>5.6988519999999996</v>
      </c>
      <c r="N11" s="16">
        <v>4.8897959999999996</v>
      </c>
      <c r="O11" s="6">
        <v>4.6876790000000002</v>
      </c>
      <c r="P11" s="6">
        <v>4.7567490000000001</v>
      </c>
      <c r="Q11" s="9">
        <v>4.4665369999999998</v>
      </c>
      <c r="R11" s="16">
        <v>4.2777320000000003</v>
      </c>
      <c r="S11" s="6">
        <v>4.4090389999999999</v>
      </c>
      <c r="T11" s="6">
        <v>4.324446</v>
      </c>
      <c r="U11" s="6">
        <v>3.9155190000000002</v>
      </c>
      <c r="V11" s="16">
        <v>4.1085979999999998</v>
      </c>
      <c r="W11" s="6">
        <f>5279055/1000000</f>
        <v>5.2790549999999996</v>
      </c>
      <c r="X11" s="6">
        <f>6509465/1000000</f>
        <v>6.5094649999999996</v>
      </c>
      <c r="Y11" s="9">
        <f>5183352/1000000</f>
        <v>5.1833520000000002</v>
      </c>
      <c r="Z11" s="16">
        <f>6364883/1000000</f>
        <v>6.3648829999999998</v>
      </c>
      <c r="AA11" s="6">
        <f>5999564/1000000</f>
        <v>5.9995640000000003</v>
      </c>
      <c r="AB11" s="6">
        <f>7318149/1000000</f>
        <v>7.318149</v>
      </c>
      <c r="AC11" s="9">
        <f>6029162/1000000</f>
        <v>6.0291620000000004</v>
      </c>
      <c r="AD11" s="36">
        <v>8.4311310000000006</v>
      </c>
      <c r="AE11" s="36">
        <v>11.656065999999999</v>
      </c>
      <c r="AF11" s="36">
        <v>9.1374739999999992</v>
      </c>
      <c r="AG11" s="37">
        <v>5.5684300000000002</v>
      </c>
      <c r="AH11" s="44">
        <f>7673122/1000000</f>
        <v>7.6731220000000002</v>
      </c>
      <c r="AI11" s="58">
        <v>6.8443829999999997</v>
      </c>
      <c r="AJ11" s="58">
        <v>6.588266</v>
      </c>
      <c r="AK11" s="59">
        <v>5.593731</v>
      </c>
      <c r="AL11" s="44">
        <v>5.5738019999999997</v>
      </c>
      <c r="AM11" s="46">
        <v>6.0421010000000006</v>
      </c>
      <c r="AN11" s="46">
        <v>6.8389779999999991</v>
      </c>
      <c r="AO11" s="50">
        <v>7.0663160000000014</v>
      </c>
      <c r="AP11" s="46">
        <v>6.6672090000000006</v>
      </c>
      <c r="AQ11" s="67">
        <v>5.27942</v>
      </c>
      <c r="AR11" s="64">
        <v>4.7555519999999998</v>
      </c>
      <c r="AX11" s="36"/>
      <c r="AY11" s="36"/>
      <c r="AZ11" s="36"/>
    </row>
    <row r="12" spans="1:52" ht="15" x14ac:dyDescent="0.2">
      <c r="A12" s="8" t="s">
        <v>7</v>
      </c>
      <c r="B12" s="16">
        <v>70.245976999999996</v>
      </c>
      <c r="C12" s="6">
        <v>93.631944000000004</v>
      </c>
      <c r="D12" s="6">
        <v>77.758258999999995</v>
      </c>
      <c r="E12" s="9">
        <v>81.562704999999994</v>
      </c>
      <c r="F12" s="6">
        <v>69.696089999999998</v>
      </c>
      <c r="G12" s="6">
        <v>97.770016999999996</v>
      </c>
      <c r="H12" s="6">
        <v>82.977627999999996</v>
      </c>
      <c r="I12" s="6">
        <v>85.079860999999994</v>
      </c>
      <c r="J12" s="16">
        <v>76.100502000000006</v>
      </c>
      <c r="K12" s="6">
        <v>64.594660000000005</v>
      </c>
      <c r="L12" s="6">
        <v>74.961830000000006</v>
      </c>
      <c r="M12" s="9">
        <v>123.65727200000001</v>
      </c>
      <c r="N12" s="16">
        <v>68.505204000000006</v>
      </c>
      <c r="O12" s="6">
        <v>88.727056000000005</v>
      </c>
      <c r="P12" s="6">
        <v>87.404776999999996</v>
      </c>
      <c r="Q12" s="9">
        <v>113.969058</v>
      </c>
      <c r="R12" s="16">
        <v>138.25738000000001</v>
      </c>
      <c r="S12" s="6">
        <v>133.28836000000001</v>
      </c>
      <c r="T12" s="6">
        <v>98.886876999999998</v>
      </c>
      <c r="U12" s="6">
        <v>118.968554</v>
      </c>
      <c r="V12" s="16">
        <v>96.240095999999994</v>
      </c>
      <c r="W12" s="6">
        <f>181430645/1000000</f>
        <v>181.430645</v>
      </c>
      <c r="X12" s="6">
        <f>214654346/1000000</f>
        <v>214.654346</v>
      </c>
      <c r="Y12" s="9">
        <f>176943929/1000000</f>
        <v>176.943929</v>
      </c>
      <c r="Z12" s="16">
        <f>125930552/1000000</f>
        <v>125.93055200000001</v>
      </c>
      <c r="AA12" s="6">
        <f>123635183/1000000</f>
        <v>123.635183</v>
      </c>
      <c r="AB12" s="6">
        <f>197301493/1000000</f>
        <v>197.30149299999999</v>
      </c>
      <c r="AC12" s="9">
        <f>131601278/1000000</f>
        <v>131.60127800000001</v>
      </c>
      <c r="AD12" s="36">
        <v>168.61928</v>
      </c>
      <c r="AE12" s="36">
        <v>212.98060599999999</v>
      </c>
      <c r="AF12" s="36">
        <v>143.636235</v>
      </c>
      <c r="AG12" s="37">
        <v>164.59262100000001</v>
      </c>
      <c r="AH12" s="57">
        <f>294929907/1000000</f>
        <v>294.92990700000001</v>
      </c>
      <c r="AI12" s="58">
        <v>116.296057</v>
      </c>
      <c r="AJ12" s="58">
        <v>181.486942</v>
      </c>
      <c r="AK12" s="59">
        <v>110.63771699999999</v>
      </c>
      <c r="AL12" s="44">
        <v>99.609205999999986</v>
      </c>
      <c r="AM12" s="46">
        <v>98.190959000000007</v>
      </c>
      <c r="AN12" s="46">
        <v>119.342089</v>
      </c>
      <c r="AO12" s="50">
        <v>90.953057000000001</v>
      </c>
      <c r="AP12" s="46">
        <v>94.25375600000001</v>
      </c>
      <c r="AQ12" s="67">
        <v>68.882442999999995</v>
      </c>
      <c r="AR12" s="64">
        <v>65.915946000000005</v>
      </c>
      <c r="AX12" s="36"/>
      <c r="AY12" s="36"/>
      <c r="AZ12" s="36"/>
    </row>
    <row r="13" spans="1:52" ht="15" x14ac:dyDescent="0.2">
      <c r="A13" s="8" t="s">
        <v>8</v>
      </c>
      <c r="B13" s="16">
        <v>186.689449</v>
      </c>
      <c r="C13" s="6">
        <v>307.79010199999999</v>
      </c>
      <c r="D13" s="6">
        <v>242.56465499999999</v>
      </c>
      <c r="E13" s="9">
        <v>216.748167</v>
      </c>
      <c r="F13" s="6">
        <v>233.05331699999999</v>
      </c>
      <c r="G13" s="6">
        <v>196.37053399999999</v>
      </c>
      <c r="H13" s="6">
        <v>148.43800999999999</v>
      </c>
      <c r="I13" s="6">
        <v>158.48572999999999</v>
      </c>
      <c r="J13" s="16">
        <v>169.73949999999999</v>
      </c>
      <c r="K13" s="6">
        <v>244.90035599999999</v>
      </c>
      <c r="L13" s="6">
        <v>322.60118999999997</v>
      </c>
      <c r="M13" s="9">
        <v>290.82020499999999</v>
      </c>
      <c r="N13" s="16">
        <v>300.53131200000001</v>
      </c>
      <c r="O13" s="6">
        <v>449.71702099999999</v>
      </c>
      <c r="P13" s="6">
        <v>405.52789100000001</v>
      </c>
      <c r="Q13" s="9">
        <v>444.40939100000003</v>
      </c>
      <c r="R13" s="16">
        <v>258.28217799999999</v>
      </c>
      <c r="S13" s="6">
        <v>211.06374299999999</v>
      </c>
      <c r="T13" s="6">
        <v>200.484791</v>
      </c>
      <c r="U13" s="6">
        <v>295.1798</v>
      </c>
      <c r="V13" s="16">
        <v>187.90195600000001</v>
      </c>
      <c r="W13" s="6">
        <f>195468087/1000000</f>
        <v>195.468087</v>
      </c>
      <c r="X13" s="6">
        <f>235632502/1000000</f>
        <v>235.63250199999999</v>
      </c>
      <c r="Y13" s="9">
        <f>208129182/1000000</f>
        <v>208.12918199999999</v>
      </c>
      <c r="Z13" s="16">
        <f>145853722/1000000</f>
        <v>145.853722</v>
      </c>
      <c r="AA13" s="6">
        <f>142267880/1000000</f>
        <v>142.26787999999999</v>
      </c>
      <c r="AB13" s="6">
        <f>124120352/1000000</f>
        <v>124.120352</v>
      </c>
      <c r="AC13" s="9">
        <f>135234009/1000000</f>
        <v>135.23400899999999</v>
      </c>
      <c r="AD13" s="36">
        <v>134.97658799999999</v>
      </c>
      <c r="AE13" s="36">
        <v>141.93825699999999</v>
      </c>
      <c r="AF13" s="36">
        <v>145.67509000000001</v>
      </c>
      <c r="AG13" s="37">
        <v>152.74019200000001</v>
      </c>
      <c r="AH13" s="44">
        <f>113534282/1000000</f>
        <v>113.534282</v>
      </c>
      <c r="AI13" s="46">
        <v>157.20926399999999</v>
      </c>
      <c r="AJ13" s="58">
        <v>164.33595099999999</v>
      </c>
      <c r="AK13" s="59">
        <v>124.844323</v>
      </c>
      <c r="AL13" s="44">
        <v>234.31705400000001</v>
      </c>
      <c r="AM13" s="46">
        <v>137.18749</v>
      </c>
      <c r="AN13" s="46">
        <v>102.25426400000001</v>
      </c>
      <c r="AO13" s="50">
        <v>121.536265</v>
      </c>
      <c r="AP13" s="46">
        <v>107.10186200000001</v>
      </c>
      <c r="AQ13" s="67">
        <v>81.102212000000009</v>
      </c>
      <c r="AR13" s="64">
        <v>75.840063000000001</v>
      </c>
      <c r="AX13" s="36"/>
      <c r="AY13" s="36"/>
      <c r="AZ13" s="36"/>
    </row>
    <row r="14" spans="1:52" ht="15" x14ac:dyDescent="0.2">
      <c r="A14" s="8" t="s">
        <v>9</v>
      </c>
      <c r="B14" s="16">
        <v>337.014993</v>
      </c>
      <c r="C14" s="6">
        <v>390.606964</v>
      </c>
      <c r="D14" s="6">
        <v>698.46957699999996</v>
      </c>
      <c r="E14" s="9">
        <v>326.42574100000002</v>
      </c>
      <c r="F14" s="6">
        <v>303.28600599999999</v>
      </c>
      <c r="G14" s="6">
        <v>310.906994</v>
      </c>
      <c r="H14" s="6">
        <v>303.70869199999999</v>
      </c>
      <c r="I14" s="6">
        <v>296.81716299999999</v>
      </c>
      <c r="J14" s="16">
        <v>376.72718500000002</v>
      </c>
      <c r="K14" s="6">
        <v>364.25425300000001</v>
      </c>
      <c r="L14" s="6">
        <v>402.04271</v>
      </c>
      <c r="M14" s="9">
        <v>308.98507999999998</v>
      </c>
      <c r="N14" s="16">
        <v>350.32988499999999</v>
      </c>
      <c r="O14" s="6">
        <v>536.80471899999998</v>
      </c>
      <c r="P14" s="6">
        <v>624.01959399999998</v>
      </c>
      <c r="Q14" s="9">
        <v>642.87441999999999</v>
      </c>
      <c r="R14" s="16">
        <v>474.16692999999998</v>
      </c>
      <c r="S14" s="6">
        <v>455.19939199999999</v>
      </c>
      <c r="T14" s="6">
        <v>544.745316</v>
      </c>
      <c r="U14" s="6">
        <v>574.234555</v>
      </c>
      <c r="V14" s="16">
        <v>334.00171699999999</v>
      </c>
      <c r="W14" s="6">
        <f>532281322/1000000</f>
        <v>532.28132200000005</v>
      </c>
      <c r="X14" s="6">
        <f>535005822/1000000</f>
        <v>535.00582199999997</v>
      </c>
      <c r="Y14" s="9">
        <f>543239616/1000000</f>
        <v>543.23961599999996</v>
      </c>
      <c r="Z14" s="16">
        <f>388780396/1000000</f>
        <v>388.780396</v>
      </c>
      <c r="AA14" s="6">
        <f>356579569/1000000</f>
        <v>356.57956899999999</v>
      </c>
      <c r="AB14" s="6">
        <f>299366101/1000000</f>
        <v>299.36610100000001</v>
      </c>
      <c r="AC14" s="9">
        <f>377512727/1000000</f>
        <v>377.51272699999998</v>
      </c>
      <c r="AD14" s="36">
        <v>282.77173800000003</v>
      </c>
      <c r="AE14" s="36">
        <v>310.296042</v>
      </c>
      <c r="AF14" s="36">
        <v>376.36585100000002</v>
      </c>
      <c r="AG14" s="37">
        <v>411.66277500000001</v>
      </c>
      <c r="AH14" s="44">
        <f>296489640/1000000</f>
        <v>296.48964000000001</v>
      </c>
      <c r="AI14" s="46">
        <v>296.69874600000003</v>
      </c>
      <c r="AJ14" s="58">
        <v>292.23371500000002</v>
      </c>
      <c r="AK14" s="59">
        <v>311.08147600000001</v>
      </c>
      <c r="AL14" s="44">
        <v>237.68226799999999</v>
      </c>
      <c r="AM14" s="46">
        <v>225.47215800000001</v>
      </c>
      <c r="AN14" s="46">
        <v>269.50855799999999</v>
      </c>
      <c r="AO14" s="50">
        <v>303.95968000000005</v>
      </c>
      <c r="AP14" s="46">
        <v>195.50404800000001</v>
      </c>
      <c r="AQ14" s="67">
        <v>167.49303800000001</v>
      </c>
      <c r="AR14" s="64">
        <v>188.311722</v>
      </c>
      <c r="AX14" s="36"/>
      <c r="AY14" s="36"/>
      <c r="AZ14" s="36"/>
    </row>
    <row r="15" spans="1:52" ht="15" x14ac:dyDescent="0.2">
      <c r="A15" s="8" t="s">
        <v>10</v>
      </c>
      <c r="B15" s="16">
        <v>81.701750000000004</v>
      </c>
      <c r="C15" s="6">
        <v>105.594219</v>
      </c>
      <c r="D15" s="6">
        <v>91.271237999999997</v>
      </c>
      <c r="E15" s="9">
        <v>102.758518</v>
      </c>
      <c r="F15" s="6">
        <v>79.289337000000003</v>
      </c>
      <c r="G15" s="6">
        <v>96.521932000000007</v>
      </c>
      <c r="H15" s="6">
        <v>73.386681999999993</v>
      </c>
      <c r="I15" s="6">
        <v>94.140161000000006</v>
      </c>
      <c r="J15" s="16">
        <v>101.39020499999999</v>
      </c>
      <c r="K15" s="6">
        <v>94.221852999999996</v>
      </c>
      <c r="L15" s="6">
        <v>66.431760999999995</v>
      </c>
      <c r="M15" s="9">
        <v>89.403137999999998</v>
      </c>
      <c r="N15" s="16">
        <v>75.237369999999999</v>
      </c>
      <c r="O15" s="6">
        <v>92.017205000000004</v>
      </c>
      <c r="P15" s="6">
        <v>86.027007999999995</v>
      </c>
      <c r="Q15" s="9">
        <v>142.68671800000001</v>
      </c>
      <c r="R15" s="16">
        <v>85.157747000000001</v>
      </c>
      <c r="S15" s="6">
        <v>98.342410999999998</v>
      </c>
      <c r="T15" s="6">
        <v>94.2273</v>
      </c>
      <c r="U15" s="6">
        <v>102.00661599999999</v>
      </c>
      <c r="V15" s="16">
        <v>79.383662999999999</v>
      </c>
      <c r="W15" s="6">
        <f>82742016/1000000</f>
        <v>82.742016000000007</v>
      </c>
      <c r="X15" s="6">
        <f>109893000/1000000</f>
        <v>109.893</v>
      </c>
      <c r="Y15" s="9">
        <f>132756828/1000000</f>
        <v>132.75682800000001</v>
      </c>
      <c r="Z15" s="16">
        <f>99269490/1000000</f>
        <v>99.269490000000005</v>
      </c>
      <c r="AA15" s="6">
        <f>97141568/1000000</f>
        <v>97.141568000000007</v>
      </c>
      <c r="AB15" s="6">
        <f>131401533/1000000</f>
        <v>131.401533</v>
      </c>
      <c r="AC15" s="9">
        <f>98120379/1000000</f>
        <v>98.120379</v>
      </c>
      <c r="AD15" s="36">
        <v>109.156097</v>
      </c>
      <c r="AE15" s="36">
        <v>107.019947</v>
      </c>
      <c r="AF15" s="36">
        <v>104.834924</v>
      </c>
      <c r="AG15" s="37">
        <v>100.42317199999999</v>
      </c>
      <c r="AH15" s="44">
        <f>96653564/1000000</f>
        <v>96.653564000000003</v>
      </c>
      <c r="AI15" s="46">
        <v>83.914089000000004</v>
      </c>
      <c r="AJ15" s="46">
        <v>86.152601000000004</v>
      </c>
      <c r="AK15" s="59">
        <v>91.068731999999997</v>
      </c>
      <c r="AL15" s="44">
        <v>91.377837</v>
      </c>
      <c r="AM15" s="46">
        <v>75.818171000000007</v>
      </c>
      <c r="AN15" s="46">
        <v>128.15633800000001</v>
      </c>
      <c r="AO15" s="50">
        <v>90.178343999999996</v>
      </c>
      <c r="AP15" s="46">
        <v>80.964811999999995</v>
      </c>
      <c r="AQ15" s="67">
        <v>43.106864000000002</v>
      </c>
      <c r="AR15" s="64">
        <v>77.123900000000006</v>
      </c>
      <c r="AX15" s="36"/>
      <c r="AY15" s="36"/>
      <c r="AZ15" s="36"/>
    </row>
    <row r="16" spans="1:52" ht="15" x14ac:dyDescent="0.2">
      <c r="A16" s="10" t="s">
        <v>11</v>
      </c>
      <c r="B16" s="17">
        <v>4.4062200000000002</v>
      </c>
      <c r="C16" s="11">
        <v>3.218321</v>
      </c>
      <c r="D16" s="11">
        <v>4.1287739999999999</v>
      </c>
      <c r="E16" s="12">
        <v>3.3183120000000002</v>
      </c>
      <c r="F16" s="11">
        <v>2.5244059999999999</v>
      </c>
      <c r="G16" s="11">
        <v>1.9522060000000001</v>
      </c>
      <c r="H16" s="11">
        <v>5.0274200000000002</v>
      </c>
      <c r="I16" s="11">
        <v>3.5871379999999999</v>
      </c>
      <c r="J16" s="17">
        <v>7.1457959999999998</v>
      </c>
      <c r="K16" s="11">
        <v>3.0769920000000002</v>
      </c>
      <c r="L16" s="11">
        <v>5.9666620000000004</v>
      </c>
      <c r="M16" s="12">
        <v>3.5305939999999998</v>
      </c>
      <c r="N16" s="17">
        <v>2.414434</v>
      </c>
      <c r="O16" s="11">
        <v>1.6777089999999999</v>
      </c>
      <c r="P16" s="11">
        <v>3.5693410000000001</v>
      </c>
      <c r="Q16" s="12">
        <v>2.3921160000000001</v>
      </c>
      <c r="R16" s="17">
        <v>2.4154749999999998</v>
      </c>
      <c r="S16" s="11">
        <v>2.1318260000000002</v>
      </c>
      <c r="T16" s="11">
        <v>4.4489530000000004</v>
      </c>
      <c r="U16" s="11">
        <v>1.113381</v>
      </c>
      <c r="V16" s="17">
        <v>0.297014</v>
      </c>
      <c r="W16" s="11">
        <f>279441/1000000</f>
        <v>0.27944099999999999</v>
      </c>
      <c r="X16" s="11">
        <f>666515/1000000</f>
        <v>0.66651499999999997</v>
      </c>
      <c r="Y16" s="12">
        <f>340702/1000000</f>
        <v>0.340702</v>
      </c>
      <c r="Z16" s="17">
        <f>486172/1000000</f>
        <v>0.48617199999999999</v>
      </c>
      <c r="AA16" s="11">
        <f>1380592/1000000</f>
        <v>1.380592</v>
      </c>
      <c r="AB16" s="11">
        <f>1662202/1000000</f>
        <v>1.662202</v>
      </c>
      <c r="AC16" s="12">
        <f>3240274/1000000</f>
        <v>3.2402739999999999</v>
      </c>
      <c r="AD16" s="38">
        <v>2.1558950000000001</v>
      </c>
      <c r="AE16" s="39">
        <v>3.4970699999999999</v>
      </c>
      <c r="AF16" s="39">
        <v>4.5340069999999999</v>
      </c>
      <c r="AG16" s="40">
        <v>4.4423830000000004</v>
      </c>
      <c r="AH16" s="45">
        <f>3851931/1000000</f>
        <v>3.851931</v>
      </c>
      <c r="AI16" s="47">
        <v>4.0487669999999998</v>
      </c>
      <c r="AJ16" s="47">
        <v>3.3064840000000002</v>
      </c>
      <c r="AK16" s="51">
        <v>3.1509510000000001</v>
      </c>
      <c r="AL16" s="45">
        <v>2.8468979999999999</v>
      </c>
      <c r="AM16" s="47">
        <v>2.741514</v>
      </c>
      <c r="AN16" s="47">
        <v>3.3359559999999999</v>
      </c>
      <c r="AO16" s="51">
        <v>2.3127529999999998</v>
      </c>
      <c r="AP16" s="47">
        <v>1.895678</v>
      </c>
      <c r="AQ16" s="68">
        <v>1.292726</v>
      </c>
      <c r="AR16" s="65">
        <v>1.268899</v>
      </c>
      <c r="AX16" s="36"/>
      <c r="AY16" s="36"/>
      <c r="AZ16" s="36"/>
    </row>
    <row r="17" spans="1:52" ht="15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55"/>
      <c r="AK17" s="34"/>
      <c r="AX17" s="36"/>
      <c r="AY17" s="36"/>
      <c r="AZ17" s="36"/>
    </row>
    <row r="18" spans="1:52" ht="15" x14ac:dyDescent="0.2">
      <c r="A18" s="1" t="s">
        <v>42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6"/>
      <c r="AK18" s="54"/>
    </row>
    <row r="19" spans="1:52" x14ac:dyDescent="0.25">
      <c r="A19" s="1" t="s">
        <v>43</v>
      </c>
    </row>
    <row r="21" spans="1:52" x14ac:dyDescent="0.25">
      <c r="A21" s="66" t="s">
        <v>44</v>
      </c>
    </row>
    <row r="22" spans="1:52" x14ac:dyDescent="0.25">
      <c r="A22" s="66" t="s">
        <v>45</v>
      </c>
    </row>
    <row r="23" spans="1:52" x14ac:dyDescent="0.25">
      <c r="A23" s="69" t="s">
        <v>50</v>
      </c>
    </row>
    <row r="24" spans="1:52" x14ac:dyDescent="0.25">
      <c r="A24" s="69" t="s">
        <v>51</v>
      </c>
    </row>
  </sheetData>
  <mergeCells count="13">
    <mergeCell ref="AP4:AR4"/>
    <mergeCell ref="AL4:AO4"/>
    <mergeCell ref="AH4:AK4"/>
    <mergeCell ref="AD4:AG4"/>
    <mergeCell ref="Z4:AC4"/>
    <mergeCell ref="N4:Q4"/>
    <mergeCell ref="R4:U4"/>
    <mergeCell ref="V4:Y4"/>
    <mergeCell ref="A1:E1"/>
    <mergeCell ref="B4:E4"/>
    <mergeCell ref="A4:A5"/>
    <mergeCell ref="F4:I4"/>
    <mergeCell ref="J4:M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bce80bc-31f1-456e-bae0-275749261b0a">MKH52Q7RF5JS-1303391851-1934</_dlc_DocId>
    <_dlc_DocIdUrl xmlns="ebce80bc-31f1-456e-bae0-275749261b0a">
      <Url>https://deps.intra.gov.bn/divisions/DOS/_layouts/15/DocIdRedir.aspx?ID=MKH52Q7RF5JS-1303391851-1934</Url>
      <Description>MKH52Q7RF5JS-1303391851-1934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1E1B845F17D4BA76A5D56FE2A752C" ma:contentTypeVersion="2" ma:contentTypeDescription="Create a new document." ma:contentTypeScope="" ma:versionID="83d17377d408f96022ae6a8705b8ad68">
  <xsd:schema xmlns:xsd="http://www.w3.org/2001/XMLSchema" xmlns:xs="http://www.w3.org/2001/XMLSchema" xmlns:p="http://schemas.microsoft.com/office/2006/metadata/properties" xmlns:ns1="http://schemas.microsoft.com/sharepoint/v3" xmlns:ns2="ebce80bc-31f1-456e-bae0-275749261b0a" xmlns:ns3="7f87c9d7-699b-44c5-bfd8-c1d01b466aef" targetNamespace="http://schemas.microsoft.com/office/2006/metadata/properties" ma:root="true" ma:fieldsID="2e3ac6b8da9737f36725a203cb717209" ns1:_="" ns2:_="" ns3:_="">
    <xsd:import namespace="http://schemas.microsoft.com/sharepoint/v3"/>
    <xsd:import namespace="ebce80bc-31f1-456e-bae0-275749261b0a"/>
    <xsd:import namespace="7f87c9d7-699b-44c5-bfd8-c1d01b466a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80bc-31f1-456e-bae0-275749261b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7c9d7-699b-44c5-bfd8-c1d01b466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6596EE-293E-450B-99CE-14C00DDB776E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eb395c1-c26a-485a-a474-2edaaa77b21c"/>
    <ds:schemaRef ds:uri="http://purl.org/dc/dcmitype/"/>
    <ds:schemaRef ds:uri="ebce80bc-31f1-456e-bae0-275749261b0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50BEF51-0728-4A74-A6DE-3770C8D9E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1BC41-CCAC-40A8-9F01-F3DF94588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e80bc-31f1-456e-bae0-275749261b0a"/>
    <ds:schemaRef ds:uri="7f87c9d7-699b-44c5-bfd8-c1d01b46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42726F-ADB7-4890-825F-8DD2754770D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2019-01-09T06:26:22Z</dcterms:created>
  <dcterms:modified xsi:type="dcterms:W3CDTF">2026-01-05T07:43:17Z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0x0101000541E1B845F17D4BA76A5D56FE2A752C</vt:lpwstr>
  </property>
  <property fmtid="{D5CDD505-2E9C-101B-9397-08002B2CF9AE}" pid="3" name="_dlc_DocIdItemGuid">
    <vt:lpwstr>a596dd77-9401-4100-9fe4-324586b5fbb8</vt:lpwstr>
  </property>
</Properties>
</file>