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International Merchandise Trade Statistics\Quarterly\SEPT\"/>
    </mc:Choice>
  </mc:AlternateContent>
  <xr:revisionPtr revIDLastSave="0" documentId="13_ncr:1_{6AD4A2B8-2BE8-4956-A325-A0C4C36BF795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Metadata" sheetId="4" r:id="rId1"/>
    <sheet name="Data" sheetId="3" r:id="rId2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3" i="3" l="1"/>
  <c r="AY43" i="3"/>
  <c r="AZ43" i="3"/>
  <c r="BA43" i="3"/>
  <c r="AH6" i="3" l="1"/>
  <c r="AI6" i="3"/>
  <c r="AJ6" i="3"/>
  <c r="AK6" i="3"/>
  <c r="AC13" i="3" l="1"/>
  <c r="AC12" i="3"/>
  <c r="AC10" i="3"/>
  <c r="AC9" i="3"/>
  <c r="AB14" i="3"/>
  <c r="AB12" i="3"/>
  <c r="AB10" i="3"/>
  <c r="AB9" i="3"/>
  <c r="AA13" i="3"/>
  <c r="AA12" i="3"/>
  <c r="AA10" i="3"/>
  <c r="AA9" i="3"/>
  <c r="Z10" i="3"/>
  <c r="Z12" i="3"/>
  <c r="Z9" i="3"/>
  <c r="Z7" i="3"/>
  <c r="AG6" i="3" l="1"/>
  <c r="AF6" i="3"/>
  <c r="AE6" i="3"/>
  <c r="AD6" i="3"/>
  <c r="AC16" i="3" l="1"/>
  <c r="AC15" i="3"/>
  <c r="AC14" i="3"/>
  <c r="AC11" i="3"/>
  <c r="AC8" i="3"/>
  <c r="AC7" i="3"/>
  <c r="AB16" i="3"/>
  <c r="AB15" i="3"/>
  <c r="AB13" i="3"/>
  <c r="AB11" i="3"/>
  <c r="AB8" i="3"/>
  <c r="AB7" i="3"/>
  <c r="AA16" i="3"/>
  <c r="AA15" i="3"/>
  <c r="AA14" i="3"/>
  <c r="AA11" i="3"/>
  <c r="AA8" i="3"/>
  <c r="AA7" i="3"/>
  <c r="Z16" i="3"/>
  <c r="Z15" i="3"/>
  <c r="Z14" i="3"/>
  <c r="Z13" i="3"/>
  <c r="Z11" i="3"/>
  <c r="Z8" i="3"/>
  <c r="Y16" i="3"/>
  <c r="Y15" i="3"/>
  <c r="Y14" i="3"/>
  <c r="Y13" i="3"/>
  <c r="Y12" i="3"/>
  <c r="Y11" i="3"/>
  <c r="Y10" i="3"/>
  <c r="Y9" i="3"/>
  <c r="Y8" i="3"/>
  <c r="Y7" i="3"/>
  <c r="AC6" i="3" l="1"/>
  <c r="AB6" i="3"/>
  <c r="AA6" i="3"/>
  <c r="Z6" i="3"/>
  <c r="X16" i="3"/>
  <c r="W16" i="3"/>
  <c r="X15" i="3"/>
  <c r="W15" i="3"/>
  <c r="X14" i="3"/>
  <c r="W14" i="3"/>
  <c r="X13" i="3"/>
  <c r="W13" i="3"/>
  <c r="X12" i="3"/>
  <c r="W12" i="3"/>
  <c r="X11" i="3"/>
  <c r="W11" i="3"/>
  <c r="X10" i="3"/>
  <c r="W10" i="3"/>
  <c r="X9" i="3"/>
  <c r="W9" i="3"/>
  <c r="X8" i="3"/>
  <c r="W8" i="3"/>
  <c r="X7" i="3"/>
  <c r="W7" i="3"/>
  <c r="V6" i="3" l="1"/>
</calcChain>
</file>

<file path=xl/sharedStrings.xml><?xml version="1.0" encoding="utf-8"?>
<sst xmlns="http://schemas.openxmlformats.org/spreadsheetml/2006/main" count="88" uniqueCount="55">
  <si>
    <t>Commodity Section</t>
  </si>
  <si>
    <t xml:space="preserve">Food </t>
  </si>
  <si>
    <t>Beverages and Tobacco</t>
  </si>
  <si>
    <t>Mineral fuels</t>
  </si>
  <si>
    <t>Animal and Vegetable Oils and Fats</t>
  </si>
  <si>
    <t>Chemicals</t>
  </si>
  <si>
    <t>Machinery and Transport Equipments</t>
  </si>
  <si>
    <t>Miscellaneous Manufactured Articles</t>
  </si>
  <si>
    <t>Total Export</t>
  </si>
  <si>
    <t>Crude Material Inedible</t>
  </si>
  <si>
    <t>Manufactured Goods</t>
  </si>
  <si>
    <t xml:space="preserve">Miscellaneous Transaction </t>
  </si>
  <si>
    <t xml:space="preserve"> - Department of Economic Planning and Statistics, Ministry of Finance and Economy</t>
  </si>
  <si>
    <t>Quarterly - Exports by Commodity Section</t>
  </si>
  <si>
    <t>BND Million</t>
  </si>
  <si>
    <t>Q1</t>
  </si>
  <si>
    <t>Q2</t>
  </si>
  <si>
    <t xml:space="preserve">Q3 </t>
  </si>
  <si>
    <t>Q4</t>
  </si>
  <si>
    <t xml:space="preserve">Q1 </t>
  </si>
  <si>
    <t xml:space="preserve">Q2 </t>
  </si>
  <si>
    <t xml:space="preserve">Q4 </t>
  </si>
  <si>
    <t>Q3</t>
  </si>
  <si>
    <t>Title of dataset:</t>
  </si>
  <si>
    <t xml:space="preserve">Exports by Commodity Section
</t>
  </si>
  <si>
    <t>Definition / Concept:</t>
  </si>
  <si>
    <t xml:space="preserve">Exports comprising domestic exports and re-exports of goods.
Exports are classified according to the United Nation Standard of International Trade Classification (SITC), Revision 4.
</t>
  </si>
  <si>
    <t>Frequency:</t>
  </si>
  <si>
    <t xml:space="preserve">Quarterly
</t>
  </si>
  <si>
    <t>Unit of measure:</t>
  </si>
  <si>
    <t xml:space="preserve">BND Million
</t>
  </si>
  <si>
    <t>Level of disaggregation:</t>
  </si>
  <si>
    <t xml:space="preserve">Total Export
- Food 
- Beverages and Tobacco
- Crude Material Inedible
- Mineral fuels
- Animal and Vegetable Oils and Fats
- Chemicals
- Manufactured Goods
- Machinery and Transport Equipments
- Miscellaneous Manufactured Articles
- Miscellaneous Transaction 
</t>
  </si>
  <si>
    <t>Footnote:</t>
  </si>
  <si>
    <t xml:space="preserve">-
</t>
  </si>
  <si>
    <t>Data source:</t>
  </si>
  <si>
    <t xml:space="preserve">Department of Economic Planning and Statistics, Ministry of Finance and Economy.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</si>
  <si>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</si>
  <si>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</si>
  <si>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</si>
  <si>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</si>
  <si>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</si>
  <si>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</si>
  <si>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 xml:space="preserve">Source: </t>
  </si>
  <si>
    <t>Note:</t>
  </si>
  <si>
    <t xml:space="preserve"> - Total may not tally due to rounding</t>
  </si>
  <si>
    <t xml:space="preserve"> - '-' means Nil</t>
  </si>
  <si>
    <t>25/11/2025</t>
  </si>
  <si>
    <t xml:space="preserve">Q1 2015 - Q3 2025
</t>
  </si>
  <si>
    <t>Q2*</t>
  </si>
  <si>
    <t>Q3*</t>
  </si>
  <si>
    <t xml:space="preserve"> - Data for Q2 2025 excludes June 2025</t>
  </si>
  <si>
    <t xml:space="preserve"> - Data for Q3 2025 excludes July 2025</t>
  </si>
  <si>
    <t xml:space="preserve">https://deps.mofe.gov.bn/e-data-library/
</t>
  </si>
  <si>
    <t xml:space="preserve">https://deps.mofe.gov.bn/terms-of-use/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</si>
</sst>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_);\(0\)"/>
    <numFmt numFmtId="166" formatCode="#,##0.0_);\(#,##0.0\)"/>
    <numFmt numFmtId="167" formatCode="#,##0.0"/>
    <numFmt numFmtId="168" formatCode="0.0"/>
    <numFmt numFmtId="169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3" applyFont="1" applyBorder="1" applyAlignment="1" applyProtection="1">
      <alignment horizontal="right" vertical="center"/>
    </xf>
    <xf numFmtId="0" fontId="2" fillId="0" borderId="0" xfId="3" applyFont="1"/>
    <xf numFmtId="0" fontId="6" fillId="0" borderId="0" xfId="0" applyFont="1"/>
    <xf numFmtId="0" fontId="5" fillId="0" borderId="0" xfId="2" applyFont="1" applyAlignment="1">
      <alignment vertical="center"/>
    </xf>
    <xf numFmtId="0" fontId="5" fillId="0" borderId="0" xfId="2" applyFont="1"/>
    <xf numFmtId="0" fontId="4" fillId="0" borderId="0" xfId="3" applyFont="1" applyBorder="1" applyAlignment="1" applyProtection="1">
      <alignment horizontal="right" vertical="center" indent="1"/>
    </xf>
    <xf numFmtId="0" fontId="2" fillId="0" borderId="0" xfId="2" applyFont="1" applyBorder="1" applyAlignment="1" applyProtection="1">
      <alignment horizontal="left" vertical="center" indent="1"/>
    </xf>
    <xf numFmtId="166" fontId="2" fillId="0" borderId="0" xfId="2" applyNumberFormat="1" applyFont="1" applyBorder="1" applyAlignment="1">
      <alignment horizontal="right" vertical="center"/>
    </xf>
    <xf numFmtId="166" fontId="2" fillId="0" borderId="0" xfId="2" applyNumberFormat="1" applyFont="1" applyBorder="1" applyAlignment="1">
      <alignment vertical="center"/>
    </xf>
    <xf numFmtId="0" fontId="2" fillId="0" borderId="0" xfId="2" applyFont="1" applyBorder="1" applyAlignment="1" applyProtection="1">
      <alignment horizontal="left" vertical="center"/>
    </xf>
    <xf numFmtId="166" fontId="2" fillId="0" borderId="0" xfId="1" applyNumberFormat="1" applyFont="1" applyBorder="1" applyAlignment="1">
      <alignment horizontal="right" vertical="center"/>
    </xf>
    <xf numFmtId="0" fontId="5" fillId="0" borderId="1" xfId="2" applyFont="1" applyBorder="1" applyAlignment="1" applyProtection="1">
      <alignment horizontal="left" vertical="center" indent="1"/>
    </xf>
    <xf numFmtId="0" fontId="2" fillId="0" borderId="1" xfId="2" applyFont="1" applyBorder="1" applyAlignment="1" applyProtection="1">
      <alignment horizontal="left" vertical="center" indent="1"/>
    </xf>
    <xf numFmtId="166" fontId="2" fillId="0" borderId="2" xfId="1" applyNumberFormat="1" applyFont="1" applyBorder="1" applyAlignment="1">
      <alignment horizontal="right" vertical="center"/>
    </xf>
    <xf numFmtId="0" fontId="2" fillId="0" borderId="3" xfId="2" applyFont="1" applyBorder="1" applyAlignment="1" applyProtection="1">
      <alignment horizontal="left" vertical="center" indent="1"/>
    </xf>
    <xf numFmtId="166" fontId="2" fillId="0" borderId="4" xfId="1" applyNumberFormat="1" applyFont="1" applyBorder="1" applyAlignment="1">
      <alignment horizontal="right" vertical="center"/>
    </xf>
    <xf numFmtId="166" fontId="2" fillId="0" borderId="5" xfId="1" applyNumberFormat="1" applyFont="1" applyBorder="1" applyAlignment="1">
      <alignment horizontal="right" vertical="center"/>
    </xf>
    <xf numFmtId="166" fontId="2" fillId="0" borderId="1" xfId="2" applyNumberFormat="1" applyFont="1" applyBorder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/>
    </xf>
    <xf numFmtId="166" fontId="2" fillId="0" borderId="3" xfId="1" applyNumberFormat="1" applyFont="1" applyBorder="1" applyAlignment="1">
      <alignment horizontal="right" vertical="center"/>
    </xf>
    <xf numFmtId="0" fontId="5" fillId="0" borderId="0" xfId="2" applyFont="1" applyAlignment="1" applyProtection="1">
      <alignment horizontal="left" vertical="center" wrapText="1"/>
    </xf>
    <xf numFmtId="0" fontId="6" fillId="0" borderId="0" xfId="0" applyFont="1" applyAlignment="1">
      <alignment horizontal="right"/>
    </xf>
    <xf numFmtId="0" fontId="5" fillId="0" borderId="0" xfId="2" applyFont="1" applyAlignment="1" applyProtection="1">
      <alignment horizontal="left" vertical="center" wrapText="1"/>
    </xf>
    <xf numFmtId="165" fontId="5" fillId="0" borderId="8" xfId="3" applyNumberFormat="1" applyFont="1" applyBorder="1" applyAlignment="1">
      <alignment horizontal="center" vertical="center"/>
    </xf>
    <xf numFmtId="165" fontId="5" fillId="0" borderId="6" xfId="3" applyNumberFormat="1" applyFont="1" applyBorder="1" applyAlignment="1">
      <alignment horizontal="center" vertical="center"/>
    </xf>
    <xf numFmtId="165" fontId="5" fillId="0" borderId="7" xfId="3" applyNumberFormat="1" applyFont="1" applyBorder="1" applyAlignment="1">
      <alignment horizontal="center" vertical="center"/>
    </xf>
    <xf numFmtId="166" fontId="2" fillId="0" borderId="10" xfId="2" applyNumberFormat="1" applyFont="1" applyBorder="1" applyAlignment="1">
      <alignment horizontal="right" vertical="center"/>
    </xf>
    <xf numFmtId="166" fontId="2" fillId="0" borderId="11" xfId="2" applyNumberFormat="1" applyFont="1" applyBorder="1" applyAlignment="1">
      <alignment horizontal="right" vertical="center"/>
    </xf>
    <xf numFmtId="166" fontId="2" fillId="0" borderId="12" xfId="2" applyNumberFormat="1" applyFont="1" applyBorder="1" applyAlignment="1">
      <alignment horizontal="right" vertical="center"/>
    </xf>
    <xf numFmtId="0" fontId="6" fillId="0" borderId="13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13" xfId="0" applyFont="1" applyFill="1" applyBorder="1" applyAlignment="1">
      <alignment horizontal="justify" vertical="top" wrapText="1"/>
    </xf>
    <xf numFmtId="0" fontId="2" fillId="0" borderId="13" xfId="0" quotePrefix="1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left" vertical="top" wrapText="1"/>
    </xf>
    <xf numFmtId="0" fontId="10" fillId="0" borderId="13" xfId="6" applyFont="1" applyFill="1" applyBorder="1" applyAlignment="1">
      <alignment vertical="top" wrapText="1"/>
    </xf>
    <xf numFmtId="166" fontId="0" fillId="0" borderId="0" xfId="0" applyNumberFormat="1"/>
    <xf numFmtId="167" fontId="6" fillId="0" borderId="0" xfId="0" applyNumberFormat="1" applyFont="1"/>
    <xf numFmtId="167" fontId="6" fillId="0" borderId="12" xfId="0" applyNumberFormat="1" applyFont="1" applyBorder="1"/>
    <xf numFmtId="168" fontId="11" fillId="0" borderId="0" xfId="0" applyNumberFormat="1" applyFont="1"/>
    <xf numFmtId="168" fontId="11" fillId="0" borderId="2" xfId="0" applyNumberFormat="1" applyFont="1" applyBorder="1"/>
    <xf numFmtId="168" fontId="11" fillId="0" borderId="3" xfId="0" applyNumberFormat="1" applyFont="1" applyBorder="1"/>
    <xf numFmtId="168" fontId="11" fillId="0" borderId="4" xfId="0" applyNumberFormat="1" applyFont="1" applyBorder="1"/>
    <xf numFmtId="168" fontId="11" fillId="0" borderId="5" xfId="0" applyNumberFormat="1" applyFont="1" applyBorder="1"/>
    <xf numFmtId="167" fontId="11" fillId="0" borderId="0" xfId="0" applyNumberFormat="1" applyFont="1"/>
    <xf numFmtId="167" fontId="11" fillId="0" borderId="2" xfId="0" applyNumberFormat="1" applyFont="1" applyBorder="1"/>
    <xf numFmtId="169" fontId="6" fillId="0" borderId="11" xfId="1" applyNumberFormat="1" applyFont="1" applyBorder="1"/>
    <xf numFmtId="169" fontId="6" fillId="0" borderId="0" xfId="1" applyNumberFormat="1" applyFont="1"/>
    <xf numFmtId="169" fontId="6" fillId="0" borderId="12" xfId="1" applyNumberFormat="1" applyFont="1" applyBorder="1"/>
    <xf numFmtId="169" fontId="6" fillId="0" borderId="1" xfId="1" applyNumberFormat="1" applyFont="1" applyBorder="1"/>
    <xf numFmtId="169" fontId="6" fillId="0" borderId="0" xfId="1" applyNumberFormat="1" applyFont="1" applyBorder="1"/>
    <xf numFmtId="169" fontId="6" fillId="0" borderId="2" xfId="1" applyNumberFormat="1" applyFont="1" applyBorder="1"/>
    <xf numFmtId="169" fontId="6" fillId="0" borderId="3" xfId="1" applyNumberFormat="1" applyFont="1" applyBorder="1"/>
    <xf numFmtId="169" fontId="6" fillId="0" borderId="4" xfId="1" applyNumberFormat="1" applyFont="1" applyBorder="1"/>
    <xf numFmtId="169" fontId="6" fillId="0" borderId="5" xfId="1" applyNumberFormat="1" applyFont="1" applyBorder="1"/>
    <xf numFmtId="0" fontId="5" fillId="0" borderId="0" xfId="2" applyFont="1" applyAlignment="1" applyProtection="1">
      <alignment vertical="center" wrapText="1"/>
    </xf>
    <xf numFmtId="0" fontId="0" fillId="0" borderId="0" xfId="0" applyBorder="1"/>
    <xf numFmtId="169" fontId="0" fillId="0" borderId="0" xfId="1" applyNumberFormat="1" applyFont="1" applyBorder="1"/>
    <xf numFmtId="0" fontId="10" fillId="0" borderId="13" xfId="6" quotePrefix="1" applyFont="1" applyFill="1" applyBorder="1" applyAlignment="1">
      <alignment vertical="top" wrapText="1"/>
    </xf>
    <xf numFmtId="0" fontId="6" fillId="0" borderId="13" xfId="0" applyFont="1" applyBorder="1" applyAlignment="1">
      <alignment vertical="top"/>
    </xf>
    <xf numFmtId="14" fontId="6" fillId="0" borderId="13" xfId="0" applyNumberFormat="1" applyFont="1" applyBorder="1" applyAlignment="1">
      <alignment horizontal="left" vertical="top"/>
    </xf>
    <xf numFmtId="169" fontId="2" fillId="0" borderId="12" xfId="1" applyNumberFormat="1" applyFont="1" applyBorder="1"/>
    <xf numFmtId="169" fontId="2" fillId="0" borderId="2" xfId="1" applyNumberFormat="1" applyFont="1" applyBorder="1" applyAlignment="1">
      <alignment horizontal="center" vertical="center"/>
    </xf>
    <xf numFmtId="169" fontId="2" fillId="0" borderId="5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9" fontId="6" fillId="0" borderId="0" xfId="1" applyNumberFormat="1" applyFont="1" applyBorder="1" applyAlignment="1">
      <alignment horizontal="center" vertical="center"/>
    </xf>
    <xf numFmtId="169" fontId="6" fillId="0" borderId="4" xfId="1" applyNumberFormat="1" applyFont="1" applyBorder="1" applyAlignment="1">
      <alignment horizontal="center" vertical="center"/>
    </xf>
    <xf numFmtId="49" fontId="6" fillId="0" borderId="0" xfId="0" quotePrefix="1" applyNumberFormat="1" applyFo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10" xfId="3" applyFont="1" applyBorder="1" applyAlignment="1" applyProtection="1">
      <alignment horizontal="center" vertical="center"/>
    </xf>
    <xf numFmtId="0" fontId="7" fillId="0" borderId="11" xfId="3" applyFont="1" applyBorder="1" applyAlignment="1" applyProtection="1">
      <alignment horizontal="center" vertical="center"/>
    </xf>
    <xf numFmtId="0" fontId="7" fillId="0" borderId="12" xfId="3" applyFont="1" applyBorder="1" applyAlignment="1" applyProtection="1">
      <alignment horizontal="center" vertical="center"/>
    </xf>
  </cellXfs>
  <cellStyles count="7">
    <cellStyle name="Comma" xfId="1" builtinId="3"/>
    <cellStyle name="Comma 2" xfId="5" xr:uid="{00000000-0005-0000-0000-000001000000}"/>
    <cellStyle name="Hyperlink" xfId="6" builtinId="8"/>
    <cellStyle name="Normal" xfId="0" builtinId="0"/>
    <cellStyle name="Normal 2" xfId="4" xr:uid="{00000000-0005-0000-0000-000004000000}"/>
    <cellStyle name="Normal_6" xfId="3" xr:uid="{00000000-0005-0000-0000-000005000000}"/>
    <cellStyle name="Normal_6_1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ps.mofe.gov.bn/terms-of-u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opLeftCell="A4" workbookViewId="0">
      <selection activeCell="C13" sqref="C13"/>
    </sheetView>
  </sheetViews>
  <sheetFormatPr defaultColWidth="8.7109375" defaultRowHeight="15" x14ac:dyDescent="0.25"/>
  <cols>
    <col min="1" max="1" width="5.5703125" style="32" customWidth="1"/>
    <col min="2" max="2" width="52.5703125" style="32" customWidth="1"/>
    <col min="3" max="3" width="87.5703125" style="32" customWidth="1"/>
    <col min="4" max="16384" width="8.7109375" style="32"/>
  </cols>
  <sheetData>
    <row r="2" spans="2:3" ht="30" x14ac:dyDescent="0.25">
      <c r="B2" s="30" t="s">
        <v>23</v>
      </c>
      <c r="C2" s="31" t="s">
        <v>24</v>
      </c>
    </row>
    <row r="3" spans="2:3" ht="60" x14ac:dyDescent="0.25">
      <c r="B3" s="30" t="s">
        <v>25</v>
      </c>
      <c r="C3" s="33" t="s">
        <v>26</v>
      </c>
    </row>
    <row r="4" spans="2:3" ht="30" x14ac:dyDescent="0.25">
      <c r="B4" s="30" t="s">
        <v>27</v>
      </c>
      <c r="C4" s="31" t="s">
        <v>28</v>
      </c>
    </row>
    <row r="5" spans="2:3" ht="30" x14ac:dyDescent="0.25">
      <c r="B5" s="30" t="s">
        <v>29</v>
      </c>
      <c r="C5" s="31" t="s">
        <v>30</v>
      </c>
    </row>
    <row r="6" spans="2:3" ht="195" x14ac:dyDescent="0.25">
      <c r="B6" s="30" t="s">
        <v>31</v>
      </c>
      <c r="C6" s="31" t="s">
        <v>32</v>
      </c>
    </row>
    <row r="7" spans="2:3" ht="45" x14ac:dyDescent="0.25">
      <c r="B7" s="30" t="s">
        <v>33</v>
      </c>
      <c r="C7" s="34" t="s">
        <v>34</v>
      </c>
    </row>
    <row r="8" spans="2:3" ht="30" x14ac:dyDescent="0.25">
      <c r="B8" s="30" t="s">
        <v>35</v>
      </c>
      <c r="C8" s="35" t="s">
        <v>36</v>
      </c>
    </row>
    <row r="9" spans="2:3" ht="30" x14ac:dyDescent="0.25">
      <c r="B9" s="30" t="s">
        <v>37</v>
      </c>
      <c r="C9" s="31" t="s">
        <v>48</v>
      </c>
    </row>
    <row r="10" spans="2:3" ht="30" x14ac:dyDescent="0.25">
      <c r="B10" s="30" t="s">
        <v>38</v>
      </c>
      <c r="C10" s="59" t="s">
        <v>53</v>
      </c>
    </row>
    <row r="11" spans="2:3" ht="30" x14ac:dyDescent="0.25">
      <c r="B11" s="30" t="s">
        <v>39</v>
      </c>
      <c r="C11" s="31" t="s">
        <v>40</v>
      </c>
    </row>
    <row r="12" spans="2:3" ht="30" x14ac:dyDescent="0.25">
      <c r="B12" s="30" t="s">
        <v>41</v>
      </c>
      <c r="C12" s="36" t="s">
        <v>54</v>
      </c>
    </row>
    <row r="13" spans="2:3" ht="30" customHeight="1" x14ac:dyDescent="0.25">
      <c r="B13" s="60" t="s">
        <v>42</v>
      </c>
      <c r="C13" s="61" t="s">
        <v>47</v>
      </c>
    </row>
  </sheetData>
  <hyperlinks>
    <hyperlink ref="C12" r:id="rId1" xr:uid="{3FD77FB5-32F1-4173-98A0-A29D6824E80A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43"/>
  <sheetViews>
    <sheetView tabSelected="1" zoomScale="90" zoomScaleNormal="90" workbookViewId="0">
      <pane xSplit="1" ySplit="5" topLeftCell="AP6" activePane="bottomRight" state="frozen"/>
      <selection pane="topRight" activeCell="B1" sqref="B1"/>
      <selection pane="bottomLeft" activeCell="A6" sqref="A6"/>
      <selection pane="bottomRight" activeCell="AR16" sqref="AR16"/>
    </sheetView>
  </sheetViews>
  <sheetFormatPr defaultRowHeight="15" x14ac:dyDescent="0.25"/>
  <cols>
    <col min="1" max="1" width="44.5703125" customWidth="1"/>
    <col min="2" max="44" width="12.28515625" customWidth="1"/>
    <col min="45" max="48" width="10" bestFit="1" customWidth="1"/>
  </cols>
  <sheetData>
    <row r="1" spans="1:44" ht="15.75" customHeight="1" x14ac:dyDescent="0.25">
      <c r="A1" s="56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44" ht="15.75" x14ac:dyDescent="0.25">
      <c r="A2" s="21"/>
      <c r="B2" s="21"/>
      <c r="C2" s="21"/>
      <c r="D2" s="21"/>
      <c r="E2" s="21"/>
      <c r="F2" s="21"/>
      <c r="G2" s="21"/>
      <c r="H2" s="21"/>
      <c r="I2" s="21"/>
      <c r="J2" s="23"/>
      <c r="K2" s="21"/>
      <c r="L2" s="21"/>
      <c r="M2" s="21"/>
      <c r="N2" s="21"/>
      <c r="O2" s="21"/>
      <c r="P2" s="21"/>
      <c r="Q2" s="21"/>
    </row>
    <row r="3" spans="1:44" ht="15.75" x14ac:dyDescent="0.2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/>
      <c r="O3" s="1"/>
      <c r="P3" s="6"/>
      <c r="Q3" s="5"/>
      <c r="V3" s="22"/>
    </row>
    <row r="4" spans="1:44" ht="15.75" x14ac:dyDescent="0.25">
      <c r="A4" s="78" t="s">
        <v>0</v>
      </c>
      <c r="B4" s="75">
        <v>2015</v>
      </c>
      <c r="C4" s="76"/>
      <c r="D4" s="76"/>
      <c r="E4" s="77"/>
      <c r="F4" s="75">
        <v>2016</v>
      </c>
      <c r="G4" s="76"/>
      <c r="H4" s="76"/>
      <c r="I4" s="77"/>
      <c r="J4" s="75">
        <v>2017</v>
      </c>
      <c r="K4" s="76"/>
      <c r="L4" s="76"/>
      <c r="M4" s="77"/>
      <c r="N4" s="80">
        <v>2018</v>
      </c>
      <c r="O4" s="81"/>
      <c r="P4" s="81"/>
      <c r="Q4" s="82"/>
      <c r="R4" s="72">
        <v>2019</v>
      </c>
      <c r="S4" s="73"/>
      <c r="T4" s="73"/>
      <c r="U4" s="74"/>
      <c r="V4" s="72">
        <v>2020</v>
      </c>
      <c r="W4" s="73"/>
      <c r="X4" s="73"/>
      <c r="Y4" s="74"/>
      <c r="Z4" s="72">
        <v>2021</v>
      </c>
      <c r="AA4" s="73"/>
      <c r="AB4" s="73"/>
      <c r="AC4" s="74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69">
        <v>2024</v>
      </c>
      <c r="AM4" s="70"/>
      <c r="AN4" s="70"/>
      <c r="AO4" s="71"/>
      <c r="AP4" s="69">
        <v>2025</v>
      </c>
      <c r="AQ4" s="70"/>
      <c r="AR4" s="71"/>
    </row>
    <row r="5" spans="1:44" ht="15.75" x14ac:dyDescent="0.25">
      <c r="A5" s="79"/>
      <c r="B5" s="25" t="s">
        <v>15</v>
      </c>
      <c r="C5" s="26" t="s">
        <v>16</v>
      </c>
      <c r="D5" s="26" t="s">
        <v>17</v>
      </c>
      <c r="E5" s="24" t="s">
        <v>18</v>
      </c>
      <c r="F5" s="25" t="s">
        <v>19</v>
      </c>
      <c r="G5" s="26" t="s">
        <v>20</v>
      </c>
      <c r="H5" s="26" t="s">
        <v>17</v>
      </c>
      <c r="I5" s="26" t="s">
        <v>21</v>
      </c>
      <c r="J5" s="25" t="s">
        <v>19</v>
      </c>
      <c r="K5" s="26" t="s">
        <v>20</v>
      </c>
      <c r="L5" s="26" t="s">
        <v>17</v>
      </c>
      <c r="M5" s="24" t="s">
        <v>21</v>
      </c>
      <c r="N5" s="25" t="s">
        <v>19</v>
      </c>
      <c r="O5" s="26" t="s">
        <v>20</v>
      </c>
      <c r="P5" s="26" t="s">
        <v>17</v>
      </c>
      <c r="Q5" s="26" t="s">
        <v>21</v>
      </c>
      <c r="R5" s="25" t="s">
        <v>15</v>
      </c>
      <c r="S5" s="26" t="s">
        <v>20</v>
      </c>
      <c r="T5" s="26" t="s">
        <v>17</v>
      </c>
      <c r="U5" s="26" t="s">
        <v>21</v>
      </c>
      <c r="V5" s="25" t="s">
        <v>19</v>
      </c>
      <c r="W5" s="26" t="s">
        <v>16</v>
      </c>
      <c r="X5" s="26" t="s">
        <v>22</v>
      </c>
      <c r="Y5" s="24" t="s">
        <v>18</v>
      </c>
      <c r="Z5" s="25" t="s">
        <v>19</v>
      </c>
      <c r="AA5" s="26" t="s">
        <v>16</v>
      </c>
      <c r="AB5" s="26" t="s">
        <v>22</v>
      </c>
      <c r="AC5" s="24" t="s">
        <v>18</v>
      </c>
      <c r="AD5" s="25" t="s">
        <v>19</v>
      </c>
      <c r="AE5" s="26" t="s">
        <v>16</v>
      </c>
      <c r="AF5" s="26" t="s">
        <v>22</v>
      </c>
      <c r="AG5" s="24" t="s">
        <v>18</v>
      </c>
      <c r="AH5" s="25" t="s">
        <v>19</v>
      </c>
      <c r="AI5" s="26" t="s">
        <v>16</v>
      </c>
      <c r="AJ5" s="26" t="s">
        <v>22</v>
      </c>
      <c r="AK5" s="24" t="s">
        <v>18</v>
      </c>
      <c r="AL5" s="25" t="s">
        <v>15</v>
      </c>
      <c r="AM5" s="26" t="s">
        <v>16</v>
      </c>
      <c r="AN5" s="26" t="s">
        <v>22</v>
      </c>
      <c r="AO5" s="24" t="s">
        <v>18</v>
      </c>
      <c r="AP5" s="26" t="s">
        <v>15</v>
      </c>
      <c r="AQ5" s="26" t="s">
        <v>49</v>
      </c>
      <c r="AR5" s="24" t="s">
        <v>50</v>
      </c>
    </row>
    <row r="6" spans="1:44" ht="15.75" x14ac:dyDescent="0.25">
      <c r="A6" s="12" t="s">
        <v>8</v>
      </c>
      <c r="B6" s="27">
        <v>2562.7099360000002</v>
      </c>
      <c r="C6" s="28">
        <v>2281.1737779999999</v>
      </c>
      <c r="D6" s="28">
        <v>1931.34593</v>
      </c>
      <c r="E6" s="29">
        <v>1939.5229710000001</v>
      </c>
      <c r="F6" s="27">
        <v>1915.4979490000001</v>
      </c>
      <c r="G6" s="28">
        <v>1523.2346359999999</v>
      </c>
      <c r="H6" s="28">
        <v>1729.1953940000001</v>
      </c>
      <c r="I6" s="28">
        <v>1622.038939</v>
      </c>
      <c r="J6" s="27">
        <v>1973.8</v>
      </c>
      <c r="K6" s="28">
        <v>1850.0341900000001</v>
      </c>
      <c r="L6" s="28">
        <v>1764.0862050000001</v>
      </c>
      <c r="M6" s="29">
        <v>2123.6665130000001</v>
      </c>
      <c r="N6" s="8">
        <v>2153.7361679999999</v>
      </c>
      <c r="O6" s="8">
        <v>2023.3823540000001</v>
      </c>
      <c r="P6" s="8">
        <v>2247.3260660000001</v>
      </c>
      <c r="Q6" s="8">
        <v>2447.4093619999999</v>
      </c>
      <c r="R6" s="18">
        <v>2534.6709959999998</v>
      </c>
      <c r="S6" s="8">
        <v>2101.0328469999999</v>
      </c>
      <c r="T6" s="8">
        <v>1976.2375930000001</v>
      </c>
      <c r="U6" s="8">
        <v>3274.311338</v>
      </c>
      <c r="V6" s="27">
        <f>SUM(V7:V16)</f>
        <v>3381.0396339999998</v>
      </c>
      <c r="W6" s="28">
        <v>2129.8000000000002</v>
      </c>
      <c r="X6" s="28">
        <v>1726.7</v>
      </c>
      <c r="Y6" s="29">
        <v>1884.2</v>
      </c>
      <c r="Z6" s="27">
        <f>SUM(Z7:Z16)</f>
        <v>2825.8769729999999</v>
      </c>
      <c r="AA6" s="28">
        <f t="shared" ref="AA6:AC6" si="0">SUM(AA7:AA16)</f>
        <v>3261.8548839999999</v>
      </c>
      <c r="AB6" s="28">
        <f t="shared" si="0"/>
        <v>3923.1763120000001</v>
      </c>
      <c r="AC6" s="29">
        <f t="shared" si="0"/>
        <v>4122.8940730000004</v>
      </c>
      <c r="AD6" s="38">
        <f>SUM(AD7:AD16)</f>
        <v>4419.9989670000004</v>
      </c>
      <c r="AE6" s="38">
        <f t="shared" ref="AE6:AK6" si="1">SUM(AE7:AE16)</f>
        <v>5403.3239260000018</v>
      </c>
      <c r="AF6" s="38">
        <f t="shared" si="1"/>
        <v>5263.2364019999995</v>
      </c>
      <c r="AG6" s="39">
        <f t="shared" si="1"/>
        <v>4537.2166083000002</v>
      </c>
      <c r="AH6" s="48">
        <f>SUM(AH7:AH16)</f>
        <v>3783.9009121811005</v>
      </c>
      <c r="AI6" s="48">
        <f t="shared" si="1"/>
        <v>2711.8087851098699</v>
      </c>
      <c r="AJ6" s="47">
        <f t="shared" si="1"/>
        <v>4092.3523524523948</v>
      </c>
      <c r="AK6" s="49">
        <f t="shared" si="1"/>
        <v>4177.3334746994769</v>
      </c>
      <c r="AL6" s="50">
        <v>4268.1655601532048</v>
      </c>
      <c r="AM6" s="51">
        <v>3799.1592880533344</v>
      </c>
      <c r="AN6" s="47">
        <v>3597.8570710123886</v>
      </c>
      <c r="AO6" s="49">
        <v>3368.6849321235331</v>
      </c>
      <c r="AP6" s="47">
        <v>3614.4317870000004</v>
      </c>
      <c r="AQ6" s="47">
        <v>2194.9834478842545</v>
      </c>
      <c r="AR6" s="62">
        <v>2136.7028309544544</v>
      </c>
    </row>
    <row r="7" spans="1:44" ht="15.75" x14ac:dyDescent="0.25">
      <c r="A7" s="13" t="s">
        <v>1</v>
      </c>
      <c r="B7" s="19">
        <v>1.38954</v>
      </c>
      <c r="C7" s="11">
        <v>1.9842599999999999</v>
      </c>
      <c r="D7" s="11">
        <v>1.6860189999999999</v>
      </c>
      <c r="E7" s="14">
        <v>1.9203699999999999</v>
      </c>
      <c r="F7" s="19">
        <v>1.7322580000000001</v>
      </c>
      <c r="G7" s="11">
        <v>1.6630990000000001</v>
      </c>
      <c r="H7" s="11">
        <v>1.4721040000000001</v>
      </c>
      <c r="I7" s="11">
        <v>3.7783370000000001</v>
      </c>
      <c r="J7" s="19">
        <v>1.6</v>
      </c>
      <c r="K7" s="11">
        <v>2.2367880000000002</v>
      </c>
      <c r="L7" s="11">
        <v>3.1408770000000001</v>
      </c>
      <c r="M7" s="14">
        <v>4.3232169999999996</v>
      </c>
      <c r="N7" s="11">
        <v>3.4636010000000002</v>
      </c>
      <c r="O7" s="11">
        <v>5.3938879999999996</v>
      </c>
      <c r="P7" s="11">
        <v>4.5942449999999999</v>
      </c>
      <c r="Q7" s="11">
        <v>4.1221209999999999</v>
      </c>
      <c r="R7" s="19">
        <v>2.8032270000000001</v>
      </c>
      <c r="S7" s="11">
        <v>4.4186629999999996</v>
      </c>
      <c r="T7" s="11">
        <v>3.9367390000000002</v>
      </c>
      <c r="U7" s="11">
        <v>2.7588750000000002</v>
      </c>
      <c r="V7" s="19">
        <v>1.808371</v>
      </c>
      <c r="W7" s="11">
        <f>7945702/1000000</f>
        <v>7.9457019999999998</v>
      </c>
      <c r="X7" s="11">
        <f>2058568/1000000</f>
        <v>2.0585680000000002</v>
      </c>
      <c r="Y7" s="14">
        <f>2236379/1000000</f>
        <v>2.2363789999999999</v>
      </c>
      <c r="Z7" s="19">
        <f>4883827/1000000</f>
        <v>4.8838270000000001</v>
      </c>
      <c r="AA7" s="11">
        <f>10694517/1000000</f>
        <v>10.694516999999999</v>
      </c>
      <c r="AB7" s="11">
        <f>13805701/1000000</f>
        <v>13.805700999999999</v>
      </c>
      <c r="AC7" s="14">
        <f>22863121/1000000</f>
        <v>22.863121</v>
      </c>
      <c r="AD7" s="40">
        <v>11.836407000000001</v>
      </c>
      <c r="AE7" s="40">
        <v>14.982397000000001</v>
      </c>
      <c r="AF7" s="40">
        <v>16.922342</v>
      </c>
      <c r="AG7" s="41">
        <v>16.866374</v>
      </c>
      <c r="AH7" s="50">
        <v>5.7883459300000002</v>
      </c>
      <c r="AI7" s="51">
        <v>8.620546639999997</v>
      </c>
      <c r="AJ7" s="51">
        <v>7.7227770200000005</v>
      </c>
      <c r="AK7" s="52">
        <v>2.9803812499999998</v>
      </c>
      <c r="AL7" s="50">
        <v>2.8648833699999998</v>
      </c>
      <c r="AM7" s="51">
        <v>3.7062132799999996</v>
      </c>
      <c r="AN7" s="51">
        <v>2.841242789999999</v>
      </c>
      <c r="AO7" s="52">
        <v>5.6227058900000007</v>
      </c>
      <c r="AP7" s="51">
        <v>4.0923850000000002</v>
      </c>
      <c r="AQ7" s="66">
        <v>3.9360140000000001</v>
      </c>
      <c r="AR7" s="63">
        <v>1.95167606</v>
      </c>
    </row>
    <row r="8" spans="1:44" ht="15.75" x14ac:dyDescent="0.25">
      <c r="A8" s="13" t="s">
        <v>2</v>
      </c>
      <c r="B8" s="19">
        <v>1.0149189999999999</v>
      </c>
      <c r="C8" s="11">
        <v>0.52053000000000005</v>
      </c>
      <c r="D8" s="11">
        <v>0.59373500000000001</v>
      </c>
      <c r="E8" s="14">
        <v>0.54063300000000003</v>
      </c>
      <c r="F8" s="19">
        <v>0.41493000000000002</v>
      </c>
      <c r="G8" s="11">
        <v>0.38498500000000002</v>
      </c>
      <c r="H8" s="11">
        <v>0.75612400000000002</v>
      </c>
      <c r="I8" s="11">
        <v>0.88229400000000002</v>
      </c>
      <c r="J8" s="19">
        <v>1.5</v>
      </c>
      <c r="K8" s="11">
        <v>0.95740800000000004</v>
      </c>
      <c r="L8" s="11">
        <v>0.415215</v>
      </c>
      <c r="M8" s="14">
        <v>0.48033300000000001</v>
      </c>
      <c r="N8" s="11">
        <v>3.2777000000000001E-2</v>
      </c>
      <c r="O8" s="11">
        <v>4.7573999999999998E-2</v>
      </c>
      <c r="P8" s="11">
        <v>0.14935999999999999</v>
      </c>
      <c r="Q8" s="11">
        <v>2.5118999999999999E-2</v>
      </c>
      <c r="R8" s="19">
        <v>2.3570000000000001E-2</v>
      </c>
      <c r="S8" s="11">
        <v>3.9652E-2</v>
      </c>
      <c r="T8" s="11">
        <v>1.668E-2</v>
      </c>
      <c r="U8" s="11">
        <v>5.135E-2</v>
      </c>
      <c r="V8" s="19">
        <v>1.3901999999999999E-2</v>
      </c>
      <c r="W8" s="11">
        <f>11375/1000000</f>
        <v>1.1375E-2</v>
      </c>
      <c r="X8" s="11">
        <f>6667/1000000</f>
        <v>6.6670000000000002E-3</v>
      </c>
      <c r="Y8" s="14">
        <f>26486/1000000</f>
        <v>2.6485999999999999E-2</v>
      </c>
      <c r="Z8" s="19">
        <f>48812/1000000</f>
        <v>4.8812000000000001E-2</v>
      </c>
      <c r="AA8" s="11">
        <f>48188/1000000</f>
        <v>4.8188000000000002E-2</v>
      </c>
      <c r="AB8" s="11">
        <f>57998/1000000</f>
        <v>5.7998000000000001E-2</v>
      </c>
      <c r="AC8" s="14">
        <f>52500/1000000</f>
        <v>5.2499999999999998E-2</v>
      </c>
      <c r="AD8" s="40">
        <v>8.6497999999999992E-2</v>
      </c>
      <c r="AE8" s="40">
        <v>8.8586999999999999E-2</v>
      </c>
      <c r="AF8" s="40">
        <v>5.2822999999999995E-2</v>
      </c>
      <c r="AG8" s="41">
        <v>3.3097000000000001E-2</v>
      </c>
      <c r="AH8" s="50">
        <v>5.4837960000000005E-2</v>
      </c>
      <c r="AI8" s="51">
        <v>8.8557250000000018E-2</v>
      </c>
      <c r="AJ8" s="51">
        <v>3.4277879999999997E-2</v>
      </c>
      <c r="AK8" s="52">
        <v>1.9944690000000001E-2</v>
      </c>
      <c r="AL8" s="50">
        <v>1.4425130000000001E-2</v>
      </c>
      <c r="AM8" s="51">
        <v>1.828799E-2</v>
      </c>
      <c r="AN8" s="51">
        <v>1.0940999999999999E-2</v>
      </c>
      <c r="AO8" s="52">
        <v>1.6948689999999999E-2</v>
      </c>
      <c r="AP8" s="51">
        <v>3.6124000000000003E-2</v>
      </c>
      <c r="AQ8" s="66">
        <v>4.2159400000000005E-3</v>
      </c>
      <c r="AR8" s="63">
        <v>7.2280999999999995E-3</v>
      </c>
    </row>
    <row r="9" spans="1:44" ht="15.75" x14ac:dyDescent="0.25">
      <c r="A9" s="13" t="s">
        <v>9</v>
      </c>
      <c r="B9" s="19">
        <v>2.6426210000000001</v>
      </c>
      <c r="C9" s="11">
        <v>4.4815319999999996</v>
      </c>
      <c r="D9" s="11">
        <v>3.0914700000000002</v>
      </c>
      <c r="E9" s="14">
        <v>2.5908310000000001</v>
      </c>
      <c r="F9" s="19">
        <v>5.3869759999999998</v>
      </c>
      <c r="G9" s="11">
        <v>5.7665540000000002</v>
      </c>
      <c r="H9" s="11">
        <v>6.1617870000000003</v>
      </c>
      <c r="I9" s="11">
        <v>6.494745</v>
      </c>
      <c r="J9" s="19">
        <v>3.7</v>
      </c>
      <c r="K9" s="11">
        <v>9.0031680000000005</v>
      </c>
      <c r="L9" s="11">
        <v>5.4062910000000004</v>
      </c>
      <c r="M9" s="14">
        <v>4.7373750000000001</v>
      </c>
      <c r="N9" s="11">
        <v>6.5203990000000003</v>
      </c>
      <c r="O9" s="11">
        <v>5.0973790000000001</v>
      </c>
      <c r="P9" s="11">
        <v>7.9463980000000003</v>
      </c>
      <c r="Q9" s="11">
        <v>6.5483960000000003</v>
      </c>
      <c r="R9" s="19">
        <v>7.1831480000000001</v>
      </c>
      <c r="S9" s="11">
        <v>8.7160930000000008</v>
      </c>
      <c r="T9" s="11">
        <v>11.118261</v>
      </c>
      <c r="U9" s="11">
        <v>5.5129299999999999</v>
      </c>
      <c r="V9" s="19">
        <v>1.652863</v>
      </c>
      <c r="W9" s="11">
        <f>1161603/1000000</f>
        <v>1.1616029999999999</v>
      </c>
      <c r="X9" s="11">
        <f>1560655/1000000</f>
        <v>1.5606549999999999</v>
      </c>
      <c r="Y9" s="14">
        <f>4233843/1000000</f>
        <v>4.2338430000000002</v>
      </c>
      <c r="Z9" s="19">
        <f>9766909/1000000</f>
        <v>9.7669090000000001</v>
      </c>
      <c r="AA9" s="11">
        <f>8951907/1000000</f>
        <v>8.9519070000000003</v>
      </c>
      <c r="AB9" s="11">
        <f>10475221/1000000</f>
        <v>10.475220999999999</v>
      </c>
      <c r="AC9" s="14">
        <f>11644601/1000000</f>
        <v>11.644601</v>
      </c>
      <c r="AD9" s="40">
        <v>9.2315249999999995</v>
      </c>
      <c r="AE9" s="40">
        <v>16.37088</v>
      </c>
      <c r="AF9" s="40">
        <v>7.1834030000000002</v>
      </c>
      <c r="AG9" s="41">
        <v>5.9190550000000002</v>
      </c>
      <c r="AH9" s="50">
        <v>7.5734467400000005</v>
      </c>
      <c r="AI9" s="51">
        <v>4.0181838603477598</v>
      </c>
      <c r="AJ9" s="51">
        <v>3.5172905777280001</v>
      </c>
      <c r="AK9" s="52">
        <v>3.7084191872662498</v>
      </c>
      <c r="AL9" s="50">
        <v>5.5889671122958999</v>
      </c>
      <c r="AM9" s="51">
        <v>3.5867202653955998</v>
      </c>
      <c r="AN9" s="51">
        <v>3.7374245922263802</v>
      </c>
      <c r="AO9" s="52">
        <v>5.4974486839507595</v>
      </c>
      <c r="AP9" s="51">
        <v>5.8496579999999998</v>
      </c>
      <c r="AQ9" s="66">
        <v>5.9350590817149884</v>
      </c>
      <c r="AR9" s="63">
        <v>4.811122367723776</v>
      </c>
    </row>
    <row r="10" spans="1:44" ht="15.75" x14ac:dyDescent="0.25">
      <c r="A10" s="13" t="s">
        <v>3</v>
      </c>
      <c r="B10" s="19">
        <v>2347.2765089999998</v>
      </c>
      <c r="C10" s="11">
        <v>2173.9150209999998</v>
      </c>
      <c r="D10" s="11">
        <v>1794.00611</v>
      </c>
      <c r="E10" s="14">
        <v>1787.7352060000001</v>
      </c>
      <c r="F10" s="19">
        <v>1728.092995</v>
      </c>
      <c r="G10" s="11">
        <v>1357.33077</v>
      </c>
      <c r="H10" s="11">
        <v>1398.704469</v>
      </c>
      <c r="I10" s="11">
        <v>1489.476046</v>
      </c>
      <c r="J10" s="19">
        <v>1823</v>
      </c>
      <c r="K10" s="11">
        <v>1654.4278200000001</v>
      </c>
      <c r="L10" s="11">
        <v>1624.302226</v>
      </c>
      <c r="M10" s="14">
        <v>1805.319485</v>
      </c>
      <c r="N10" s="11">
        <v>1972.1198440000001</v>
      </c>
      <c r="O10" s="11">
        <v>1870.768626</v>
      </c>
      <c r="P10" s="11">
        <v>2018.9491989999999</v>
      </c>
      <c r="Q10" s="11">
        <v>2211.0760719999998</v>
      </c>
      <c r="R10" s="19">
        <v>2323.4327020000001</v>
      </c>
      <c r="S10" s="11">
        <v>1883.3181509999999</v>
      </c>
      <c r="T10" s="11">
        <v>1790.1513379999999</v>
      </c>
      <c r="U10" s="11">
        <v>3034.5455790000001</v>
      </c>
      <c r="V10" s="19">
        <v>2926.5418909999999</v>
      </c>
      <c r="W10" s="11">
        <f>1655341544/1000000</f>
        <v>1655.3415440000001</v>
      </c>
      <c r="X10" s="11">
        <f>1358237487/1000000</f>
        <v>1358.2374870000001</v>
      </c>
      <c r="Y10" s="14">
        <f>1495346186/1000000</f>
        <v>1495.346186</v>
      </c>
      <c r="Z10" s="19">
        <f>2210272226/1000000</f>
        <v>2210.272226</v>
      </c>
      <c r="AA10" s="11">
        <f>2475947321/1000000</f>
        <v>2475.9473210000001</v>
      </c>
      <c r="AB10" s="11">
        <f>2986455903/1000000</f>
        <v>2986.455903</v>
      </c>
      <c r="AC10" s="14">
        <f>3364522142/1000000</f>
        <v>3364.5221419999998</v>
      </c>
      <c r="AD10" s="45">
        <v>3498.704217</v>
      </c>
      <c r="AE10" s="45">
        <v>4207.1377540000003</v>
      </c>
      <c r="AF10" s="45">
        <v>4420.4844379999995</v>
      </c>
      <c r="AG10" s="46">
        <v>3626.1266473000001</v>
      </c>
      <c r="AH10" s="50">
        <v>2950.8705918406927</v>
      </c>
      <c r="AI10" s="51">
        <v>2004.8077057205035</v>
      </c>
      <c r="AJ10" s="51">
        <v>3141.9887713428107</v>
      </c>
      <c r="AK10" s="52">
        <v>3260.9151412748106</v>
      </c>
      <c r="AL10" s="50">
        <v>3273.4459238706249</v>
      </c>
      <c r="AM10" s="51">
        <v>2831.8309951941628</v>
      </c>
      <c r="AN10" s="51">
        <v>2756.2993602102565</v>
      </c>
      <c r="AO10" s="52">
        <v>2487.7466563554776</v>
      </c>
      <c r="AP10" s="51">
        <v>2686.7373849999999</v>
      </c>
      <c r="AQ10" s="66">
        <v>1599.6723168568155</v>
      </c>
      <c r="AR10" s="63">
        <v>1648.5305776397022</v>
      </c>
    </row>
    <row r="11" spans="1:44" ht="15.75" x14ac:dyDescent="0.25">
      <c r="A11" s="13" t="s">
        <v>4</v>
      </c>
      <c r="B11" s="19">
        <v>7.241E-3</v>
      </c>
      <c r="C11" s="11">
        <v>5.4190000000000002E-3</v>
      </c>
      <c r="D11" s="11">
        <v>2.0819000000000001E-2</v>
      </c>
      <c r="E11" s="14">
        <v>2.0766E-2</v>
      </c>
      <c r="F11" s="19">
        <v>2.9936000000000001E-2</v>
      </c>
      <c r="G11" s="11">
        <v>3.4874000000000002E-2</v>
      </c>
      <c r="H11" s="11">
        <v>6.6316E-2</v>
      </c>
      <c r="I11" s="11">
        <v>2.0219999999999999E-3</v>
      </c>
      <c r="J11" s="19">
        <v>0</v>
      </c>
      <c r="K11" s="11">
        <v>1.1960999999999999E-2</v>
      </c>
      <c r="L11" s="11">
        <v>1.9729999999999999E-3</v>
      </c>
      <c r="M11" s="14">
        <v>1.8010000000000001E-3</v>
      </c>
      <c r="N11" s="11">
        <v>3.6489999999999999E-3</v>
      </c>
      <c r="O11" s="11">
        <v>4.47E-3</v>
      </c>
      <c r="P11" s="11">
        <v>2.9915000000000001E-2</v>
      </c>
      <c r="Q11" s="11">
        <v>2.8962999999999999E-2</v>
      </c>
      <c r="R11" s="19">
        <v>0.16167599999999999</v>
      </c>
      <c r="S11" s="11">
        <v>8.6960999999999997E-2</v>
      </c>
      <c r="T11" s="11">
        <v>0.122403</v>
      </c>
      <c r="U11" s="11">
        <v>5.3404E-2</v>
      </c>
      <c r="V11" s="19">
        <v>2.3600000000000001E-3</v>
      </c>
      <c r="W11" s="11">
        <f>33117/1000000</f>
        <v>3.3117000000000001E-2</v>
      </c>
      <c r="X11" s="11">
        <f>269/1000000</f>
        <v>2.6899999999999998E-4</v>
      </c>
      <c r="Y11" s="14">
        <f>15111/1000000</f>
        <v>1.5110999999999999E-2</v>
      </c>
      <c r="Z11" s="19">
        <f>267835/1000000</f>
        <v>0.26783499999999999</v>
      </c>
      <c r="AA11" s="11">
        <f>98910/1000000</f>
        <v>9.8909999999999998E-2</v>
      </c>
      <c r="AB11" s="11">
        <f>125569/1000000</f>
        <v>0.12556899999999999</v>
      </c>
      <c r="AC11" s="14">
        <f>420963/1000000</f>
        <v>0.42096299999999998</v>
      </c>
      <c r="AD11" s="40">
        <v>0.13589499999999999</v>
      </c>
      <c r="AE11" s="40">
        <v>0.20508000000000001</v>
      </c>
      <c r="AF11" s="40">
        <v>0.12136</v>
      </c>
      <c r="AG11" s="41">
        <v>0.10857800000000001</v>
      </c>
      <c r="AH11" s="50">
        <v>0.12599704</v>
      </c>
      <c r="AI11" s="51">
        <v>0.14807647000000002</v>
      </c>
      <c r="AJ11" s="51">
        <v>0.12183743999999999</v>
      </c>
      <c r="AK11" s="52">
        <v>0.12921375999999998</v>
      </c>
      <c r="AL11" s="50">
        <v>0.15676548000000004</v>
      </c>
      <c r="AM11" s="51">
        <v>0.12972363999999997</v>
      </c>
      <c r="AN11" s="51">
        <v>0.15536910000000001</v>
      </c>
      <c r="AO11" s="52">
        <v>0.19191857999999998</v>
      </c>
      <c r="AP11" s="51">
        <v>0.165106</v>
      </c>
      <c r="AQ11" s="66">
        <v>8.0710819999999989E-2</v>
      </c>
      <c r="AR11" s="63">
        <v>0.148976</v>
      </c>
    </row>
    <row r="12" spans="1:44" ht="15.75" x14ac:dyDescent="0.25">
      <c r="A12" s="13" t="s">
        <v>5</v>
      </c>
      <c r="B12" s="19">
        <v>68.773875000000004</v>
      </c>
      <c r="C12" s="11">
        <v>14.518056</v>
      </c>
      <c r="D12" s="11">
        <v>60.495350999999999</v>
      </c>
      <c r="E12" s="14">
        <v>45.560174000000004</v>
      </c>
      <c r="F12" s="19">
        <v>54.449492999999997</v>
      </c>
      <c r="G12" s="11">
        <v>48.938972</v>
      </c>
      <c r="H12" s="11">
        <v>199.09143</v>
      </c>
      <c r="I12" s="11">
        <v>22.240642999999999</v>
      </c>
      <c r="J12" s="19">
        <v>76.2</v>
      </c>
      <c r="K12" s="11">
        <v>105.998891</v>
      </c>
      <c r="L12" s="11">
        <v>49.602142000000001</v>
      </c>
      <c r="M12" s="14">
        <v>48.556285000000003</v>
      </c>
      <c r="N12" s="11">
        <v>91.233080000000001</v>
      </c>
      <c r="O12" s="11">
        <v>67.221108999999998</v>
      </c>
      <c r="P12" s="11">
        <v>83.112211000000002</v>
      </c>
      <c r="Q12" s="11">
        <v>91.176124000000002</v>
      </c>
      <c r="R12" s="19">
        <v>82.309944999999999</v>
      </c>
      <c r="S12" s="11">
        <v>58.419898000000003</v>
      </c>
      <c r="T12" s="11">
        <v>50.385083999999999</v>
      </c>
      <c r="U12" s="11">
        <v>145.89661899999999</v>
      </c>
      <c r="V12" s="19">
        <v>414.54463299999998</v>
      </c>
      <c r="W12" s="11">
        <f>434882394/1000000</f>
        <v>434.88239399999998</v>
      </c>
      <c r="X12" s="11">
        <f>333366276/1000000</f>
        <v>333.36627600000003</v>
      </c>
      <c r="Y12" s="14">
        <f>341838870/1000000</f>
        <v>341.83886999999999</v>
      </c>
      <c r="Z12" s="19">
        <f>537458420/1000000</f>
        <v>537.45842000000005</v>
      </c>
      <c r="AA12" s="11">
        <f>637729779/1000000</f>
        <v>637.72977900000001</v>
      </c>
      <c r="AB12" s="11">
        <f>787270141/1000000</f>
        <v>787.27014099999997</v>
      </c>
      <c r="AC12" s="14">
        <f>646271959/1000000</f>
        <v>646.27195900000004</v>
      </c>
      <c r="AD12" s="45">
        <v>822.25846000000001</v>
      </c>
      <c r="AE12" s="45">
        <v>1052.4577880000002</v>
      </c>
      <c r="AF12" s="45">
        <v>746.81003699999997</v>
      </c>
      <c r="AG12" s="46">
        <v>808.792596</v>
      </c>
      <c r="AH12" s="50">
        <v>713.54676969040781</v>
      </c>
      <c r="AI12" s="51">
        <v>608.7889624890181</v>
      </c>
      <c r="AJ12" s="51">
        <v>864.38400371185594</v>
      </c>
      <c r="AK12" s="52">
        <v>843.46321143739942</v>
      </c>
      <c r="AL12" s="50">
        <v>884.11498293028376</v>
      </c>
      <c r="AM12" s="51">
        <v>837.39841251377595</v>
      </c>
      <c r="AN12" s="51">
        <v>724.53748780990645</v>
      </c>
      <c r="AO12" s="52">
        <v>776.70016400410475</v>
      </c>
      <c r="AP12" s="51">
        <v>815.83400099999994</v>
      </c>
      <c r="AQ12" s="66">
        <v>538.6723138357238</v>
      </c>
      <c r="AR12" s="63">
        <v>415.24684462702828</v>
      </c>
    </row>
    <row r="13" spans="1:44" ht="15.75" x14ac:dyDescent="0.25">
      <c r="A13" s="13" t="s">
        <v>10</v>
      </c>
      <c r="B13" s="19">
        <v>22.062543999999999</v>
      </c>
      <c r="C13" s="11">
        <v>17.762560000000001</v>
      </c>
      <c r="D13" s="11">
        <v>21.231396</v>
      </c>
      <c r="E13" s="14">
        <v>12.451082</v>
      </c>
      <c r="F13" s="19">
        <v>13.351141</v>
      </c>
      <c r="G13" s="11">
        <v>15.441466</v>
      </c>
      <c r="H13" s="11">
        <v>9.6847089999999998</v>
      </c>
      <c r="I13" s="11">
        <v>13.294711</v>
      </c>
      <c r="J13" s="19">
        <v>6.4</v>
      </c>
      <c r="K13" s="11">
        <v>7.8701869999999996</v>
      </c>
      <c r="L13" s="11">
        <v>7.5933999999999999</v>
      </c>
      <c r="M13" s="14">
        <v>11.980327000000001</v>
      </c>
      <c r="N13" s="11">
        <v>15.334688</v>
      </c>
      <c r="O13" s="11">
        <v>16.051535000000001</v>
      </c>
      <c r="P13" s="11">
        <v>18.121068000000001</v>
      </c>
      <c r="Q13" s="11">
        <v>38.808559000000002</v>
      </c>
      <c r="R13" s="19">
        <v>19.139150000000001</v>
      </c>
      <c r="S13" s="11">
        <v>32.366228</v>
      </c>
      <c r="T13" s="11">
        <v>12.772513</v>
      </c>
      <c r="U13" s="11">
        <v>17.714434000000001</v>
      </c>
      <c r="V13" s="19">
        <v>8.5838149999999995</v>
      </c>
      <c r="W13" s="11">
        <f>4077723/1000000</f>
        <v>4.0777229999999998</v>
      </c>
      <c r="X13" s="11">
        <f>3306103/1000000</f>
        <v>3.3061029999999998</v>
      </c>
      <c r="Y13" s="14">
        <f>6473165/1000000</f>
        <v>6.4731649999999998</v>
      </c>
      <c r="Z13" s="19">
        <f>10330005/1000000</f>
        <v>10.330005</v>
      </c>
      <c r="AA13" s="11">
        <f>10118682/1000000</f>
        <v>10.118682</v>
      </c>
      <c r="AB13" s="11">
        <f>10485278/1000000</f>
        <v>10.485277999999999</v>
      </c>
      <c r="AC13" s="14">
        <f>12092364/1000000</f>
        <v>12.092364</v>
      </c>
      <c r="AD13" s="40">
        <v>19.244440000000001</v>
      </c>
      <c r="AE13" s="40">
        <v>33.569598999999997</v>
      </c>
      <c r="AF13" s="40">
        <v>25.343658999999999</v>
      </c>
      <c r="AG13" s="41">
        <v>22.536154</v>
      </c>
      <c r="AH13" s="50">
        <v>41.931427050000011</v>
      </c>
      <c r="AI13" s="51">
        <v>29.220437419999989</v>
      </c>
      <c r="AJ13" s="51">
        <v>24.048127120000018</v>
      </c>
      <c r="AK13" s="52">
        <v>14.314306530000001</v>
      </c>
      <c r="AL13" s="50">
        <v>18.63863843</v>
      </c>
      <c r="AM13" s="51">
        <v>15.869117879999997</v>
      </c>
      <c r="AN13" s="51">
        <v>13.450004340000001</v>
      </c>
      <c r="AO13" s="52">
        <v>32.820750070000024</v>
      </c>
      <c r="AP13" s="51">
        <v>20.700434000000001</v>
      </c>
      <c r="AQ13" s="66">
        <v>18.141362030000003</v>
      </c>
      <c r="AR13" s="63">
        <v>9.1226717000000015</v>
      </c>
    </row>
    <row r="14" spans="1:44" ht="15.75" x14ac:dyDescent="0.25">
      <c r="A14" s="13" t="s">
        <v>6</v>
      </c>
      <c r="B14" s="19">
        <v>101.571696</v>
      </c>
      <c r="C14" s="11">
        <v>42.191417999999999</v>
      </c>
      <c r="D14" s="11">
        <v>34.038235</v>
      </c>
      <c r="E14" s="14">
        <v>71.563001999999997</v>
      </c>
      <c r="F14" s="19">
        <v>94.500782999999998</v>
      </c>
      <c r="G14" s="11">
        <v>73.520908000000006</v>
      </c>
      <c r="H14" s="11">
        <v>98.933091000000005</v>
      </c>
      <c r="I14" s="11">
        <v>63.135762999999997</v>
      </c>
      <c r="J14" s="19">
        <v>46.9</v>
      </c>
      <c r="K14" s="11">
        <v>48.089829999999999</v>
      </c>
      <c r="L14" s="11">
        <v>53.222563000000001</v>
      </c>
      <c r="M14" s="14">
        <v>44.990341999999998</v>
      </c>
      <c r="N14" s="11">
        <v>42.157485000000001</v>
      </c>
      <c r="O14" s="11">
        <v>42.423096999999999</v>
      </c>
      <c r="P14" s="11">
        <v>71.157026000000002</v>
      </c>
      <c r="Q14" s="11">
        <v>76.041302999999999</v>
      </c>
      <c r="R14" s="19">
        <v>82.197119999999998</v>
      </c>
      <c r="S14" s="11">
        <v>91.493740000000003</v>
      </c>
      <c r="T14" s="11">
        <v>90.604198999999994</v>
      </c>
      <c r="U14" s="11">
        <v>47.597771000000002</v>
      </c>
      <c r="V14" s="19">
        <v>21.271091999999999</v>
      </c>
      <c r="W14" s="11">
        <f>14203651/1000000</f>
        <v>14.203651000000001</v>
      </c>
      <c r="X14" s="11">
        <f>13903953/1000000</f>
        <v>13.903953</v>
      </c>
      <c r="Y14" s="14">
        <f>19555005/1000000</f>
        <v>19.555005000000001</v>
      </c>
      <c r="Z14" s="19">
        <f>36835935/1000000</f>
        <v>36.835934999999999</v>
      </c>
      <c r="AA14" s="11">
        <f>108035424/1000000</f>
        <v>108.03542400000001</v>
      </c>
      <c r="AB14" s="11">
        <f>96263233/1000000</f>
        <v>96.263233</v>
      </c>
      <c r="AC14" s="14">
        <f>47831769/1000000</f>
        <v>47.831769000000001</v>
      </c>
      <c r="AD14" s="40">
        <v>37.069896999999997</v>
      </c>
      <c r="AE14" s="40">
        <v>66.949888000000001</v>
      </c>
      <c r="AF14" s="40">
        <v>34.123154</v>
      </c>
      <c r="AG14" s="41">
        <v>43.681083999999998</v>
      </c>
      <c r="AH14" s="50">
        <v>33.528144210000029</v>
      </c>
      <c r="AI14" s="51">
        <v>46.009466840000044</v>
      </c>
      <c r="AJ14" s="51">
        <v>37.597933500000003</v>
      </c>
      <c r="AK14" s="52">
        <v>39.013831940000017</v>
      </c>
      <c r="AL14" s="50">
        <v>72.842285469999993</v>
      </c>
      <c r="AM14" s="51">
        <v>94.816349520000017</v>
      </c>
      <c r="AN14" s="51">
        <v>85.114492940000019</v>
      </c>
      <c r="AO14" s="52">
        <v>46.480917019999993</v>
      </c>
      <c r="AP14" s="51">
        <v>61.640439000000001</v>
      </c>
      <c r="AQ14" s="66">
        <v>18.71809167</v>
      </c>
      <c r="AR14" s="63">
        <v>45.17836553999998</v>
      </c>
    </row>
    <row r="15" spans="1:44" ht="15.75" x14ac:dyDescent="0.25">
      <c r="A15" s="13" t="s">
        <v>7</v>
      </c>
      <c r="B15" s="19">
        <v>15.651318</v>
      </c>
      <c r="C15" s="11">
        <v>23.248536000000001</v>
      </c>
      <c r="D15" s="11">
        <v>12.682003</v>
      </c>
      <c r="E15" s="14">
        <v>14.184262</v>
      </c>
      <c r="F15" s="19">
        <v>15.022311999999999</v>
      </c>
      <c r="G15" s="11">
        <v>17.600401999999999</v>
      </c>
      <c r="H15" s="11">
        <v>10.615822</v>
      </c>
      <c r="I15" s="11">
        <v>19.512170999999999</v>
      </c>
      <c r="J15" s="19">
        <v>11.4</v>
      </c>
      <c r="K15" s="11">
        <v>16.149248</v>
      </c>
      <c r="L15" s="11">
        <v>16.759730999999999</v>
      </c>
      <c r="M15" s="14">
        <v>186.716792</v>
      </c>
      <c r="N15" s="11">
        <v>20.314851000000001</v>
      </c>
      <c r="O15" s="11">
        <v>14.037909000000001</v>
      </c>
      <c r="P15" s="11">
        <v>38.063414999999999</v>
      </c>
      <c r="Q15" s="11">
        <v>16.885746000000001</v>
      </c>
      <c r="R15" s="19">
        <v>15.446719</v>
      </c>
      <c r="S15" s="11">
        <v>19.517530000000001</v>
      </c>
      <c r="T15" s="11">
        <v>14.873338</v>
      </c>
      <c r="U15" s="11">
        <v>18.629033</v>
      </c>
      <c r="V15" s="19">
        <v>5.9676179999999999</v>
      </c>
      <c r="W15" s="11">
        <f>5087432/1000000</f>
        <v>5.0874319999999997</v>
      </c>
      <c r="X15" s="11">
        <f>7500302/1000000</f>
        <v>7.5003019999999996</v>
      </c>
      <c r="Y15" s="14">
        <f>11372227/1000000</f>
        <v>11.372227000000001</v>
      </c>
      <c r="Z15" s="19">
        <f>12496283/1000000</f>
        <v>12.496283</v>
      </c>
      <c r="AA15" s="11">
        <f>5993794/1000000</f>
        <v>5.9937940000000003</v>
      </c>
      <c r="AB15" s="11">
        <f>11677987/1000000</f>
        <v>11.677987</v>
      </c>
      <c r="AC15" s="14">
        <f>11248880/1000000</f>
        <v>11.24888</v>
      </c>
      <c r="AD15" s="40">
        <v>15.812035999999999</v>
      </c>
      <c r="AE15" s="40">
        <v>8.5435870000000005</v>
      </c>
      <c r="AF15" s="40">
        <v>8.9382990000000007</v>
      </c>
      <c r="AG15" s="41">
        <v>10.899134999999999</v>
      </c>
      <c r="AH15" s="50">
        <v>27.892504340000009</v>
      </c>
      <c r="AI15" s="51">
        <v>8.1996407500000004</v>
      </c>
      <c r="AJ15" s="51">
        <v>9.4087343899999993</v>
      </c>
      <c r="AK15" s="52">
        <v>10.982775540000013</v>
      </c>
      <c r="AL15" s="50">
        <v>8.414488709999997</v>
      </c>
      <c r="AM15" s="51">
        <v>7.4083795599999993</v>
      </c>
      <c r="AN15" s="51">
        <v>8.2334738899999991</v>
      </c>
      <c r="AO15" s="52">
        <v>9.2015830499999964</v>
      </c>
      <c r="AP15" s="51">
        <v>8.671024000000001</v>
      </c>
      <c r="AQ15" s="66">
        <v>3.8788745399999986</v>
      </c>
      <c r="AR15" s="63">
        <v>3.4165231000000027</v>
      </c>
    </row>
    <row r="16" spans="1:44" ht="15.75" x14ac:dyDescent="0.25">
      <c r="A16" s="15" t="s">
        <v>11</v>
      </c>
      <c r="B16" s="20">
        <v>2.3196729999999999</v>
      </c>
      <c r="C16" s="16">
        <v>2.546446</v>
      </c>
      <c r="D16" s="16">
        <v>3.5007920000000001</v>
      </c>
      <c r="E16" s="17">
        <v>2.956645</v>
      </c>
      <c r="F16" s="20">
        <v>2.5171260000000002</v>
      </c>
      <c r="G16" s="16">
        <v>2.5526059999999999</v>
      </c>
      <c r="H16" s="16">
        <v>3.7095419999999999</v>
      </c>
      <c r="I16" s="16">
        <v>3.222207</v>
      </c>
      <c r="J16" s="20">
        <v>3.2</v>
      </c>
      <c r="K16" s="16">
        <v>5.2888890000000002</v>
      </c>
      <c r="L16" s="16">
        <v>3.6417860000000002</v>
      </c>
      <c r="M16" s="17">
        <v>16.560558</v>
      </c>
      <c r="N16" s="16">
        <v>2.5557940000000001</v>
      </c>
      <c r="O16" s="16">
        <v>2.3367680000000002</v>
      </c>
      <c r="P16" s="16">
        <v>5.2032309999999997</v>
      </c>
      <c r="Q16" s="16">
        <v>2.6969590000000001</v>
      </c>
      <c r="R16" s="20">
        <v>1.9737389999999999</v>
      </c>
      <c r="S16" s="16">
        <v>2.6559309999999998</v>
      </c>
      <c r="T16" s="16">
        <v>2.2570380000000001</v>
      </c>
      <c r="U16" s="16">
        <v>1.5513429999999999</v>
      </c>
      <c r="V16" s="20">
        <v>0.65308900000000003</v>
      </c>
      <c r="W16" s="16">
        <f>7103509/1000000</f>
        <v>7.1035089999999999</v>
      </c>
      <c r="X16" s="16">
        <f>6792065/1000000</f>
        <v>6.792065</v>
      </c>
      <c r="Y16" s="17">
        <f>3115865/1000000</f>
        <v>3.1158649999999999</v>
      </c>
      <c r="Z16" s="20">
        <f>3516721/1000000</f>
        <v>3.516721</v>
      </c>
      <c r="AA16" s="16">
        <f>4236362/1000000</f>
        <v>4.2363619999999997</v>
      </c>
      <c r="AB16" s="16">
        <f>6559281/1000000</f>
        <v>6.5592810000000004</v>
      </c>
      <c r="AC16" s="17">
        <f>5945774/1000000</f>
        <v>5.9457740000000001</v>
      </c>
      <c r="AD16" s="42">
        <v>5.619591999999999</v>
      </c>
      <c r="AE16" s="43">
        <v>3.0183659999999999</v>
      </c>
      <c r="AF16" s="43">
        <v>3.2568869999999999</v>
      </c>
      <c r="AG16" s="44">
        <v>2.2538879999999999</v>
      </c>
      <c r="AH16" s="53">
        <v>2.5888473800000003</v>
      </c>
      <c r="AI16" s="54">
        <v>1.90720767</v>
      </c>
      <c r="AJ16" s="54">
        <v>3.5285994700000005</v>
      </c>
      <c r="AK16" s="55">
        <v>1.8062490899999999</v>
      </c>
      <c r="AL16" s="53">
        <v>2.08419965</v>
      </c>
      <c r="AM16" s="54">
        <v>4.3950882099999999</v>
      </c>
      <c r="AN16" s="54">
        <v>3.4772743399999997</v>
      </c>
      <c r="AO16" s="55">
        <v>4.40583978</v>
      </c>
      <c r="AP16" s="54">
        <v>10.705231000000001</v>
      </c>
      <c r="AQ16" s="67">
        <v>5.944489110000001</v>
      </c>
      <c r="AR16" s="64">
        <v>8.2888458200000006</v>
      </c>
    </row>
    <row r="17" spans="1:6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8"/>
      <c r="P17" s="9"/>
      <c r="Q17" s="9"/>
      <c r="Y17" s="37"/>
    </row>
    <row r="18" spans="1:61" x14ac:dyDescent="0.25">
      <c r="A18" s="10" t="s">
        <v>43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8"/>
      <c r="O18" s="8"/>
      <c r="P18" s="9"/>
      <c r="Q18" s="9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</row>
    <row r="19" spans="1:61" ht="15.75" x14ac:dyDescent="0.25">
      <c r="A19" s="3" t="s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  <c r="O19" s="2"/>
      <c r="P19" s="2"/>
      <c r="Q19" s="2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</row>
    <row r="20" spans="1:61" x14ac:dyDescent="0.25"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</row>
    <row r="21" spans="1:61" x14ac:dyDescent="0.25">
      <c r="A21" s="65" t="s">
        <v>44</v>
      </c>
      <c r="AS21" s="58"/>
      <c r="AT21" s="58"/>
      <c r="AU21" s="58"/>
      <c r="AV21" s="58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</row>
    <row r="22" spans="1:61" x14ac:dyDescent="0.25">
      <c r="A22" s="65" t="s">
        <v>45</v>
      </c>
      <c r="AS22" s="58"/>
      <c r="AT22" s="58"/>
      <c r="AU22" s="58"/>
      <c r="AV22" s="58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</row>
    <row r="23" spans="1:61" x14ac:dyDescent="0.25">
      <c r="A23" s="65" t="s">
        <v>46</v>
      </c>
      <c r="AS23" s="58"/>
      <c r="AT23" s="58"/>
      <c r="AU23" s="58"/>
      <c r="AV23" s="58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</row>
    <row r="24" spans="1:61" ht="15.75" x14ac:dyDescent="0.25">
      <c r="A24" s="68" t="s">
        <v>51</v>
      </c>
      <c r="AS24" s="58"/>
      <c r="AT24" s="58"/>
      <c r="AU24" s="58"/>
      <c r="AV24" s="58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</row>
    <row r="25" spans="1:61" ht="15.75" x14ac:dyDescent="0.25">
      <c r="A25" s="68" t="s">
        <v>52</v>
      </c>
      <c r="AS25" s="58"/>
      <c r="AT25" s="58"/>
      <c r="AU25" s="58"/>
      <c r="AV25" s="58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</row>
    <row r="26" spans="1:61" x14ac:dyDescent="0.25">
      <c r="AS26" s="58"/>
      <c r="AT26" s="58"/>
      <c r="AU26" s="58"/>
      <c r="AV26" s="58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</row>
    <row r="27" spans="1:61" x14ac:dyDescent="0.25">
      <c r="AS27" s="58"/>
      <c r="AT27" s="58"/>
      <c r="AU27" s="58"/>
      <c r="AV27" s="58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</row>
    <row r="28" spans="1:61" x14ac:dyDescent="0.25">
      <c r="AS28" s="58"/>
      <c r="AT28" s="58"/>
      <c r="AU28" s="58"/>
      <c r="AV28" s="58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</row>
    <row r="29" spans="1:61" x14ac:dyDescent="0.25">
      <c r="AS29" s="58"/>
      <c r="AT29" s="58"/>
      <c r="AU29" s="58"/>
      <c r="AV29" s="58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</row>
    <row r="30" spans="1:61" x14ac:dyDescent="0.25">
      <c r="AS30" s="58"/>
      <c r="AT30" s="58"/>
      <c r="AU30" s="58"/>
      <c r="AV30" s="58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</row>
    <row r="31" spans="1:61" x14ac:dyDescent="0.25"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</row>
    <row r="43" spans="50:53" x14ac:dyDescent="0.25">
      <c r="AX43">
        <f t="shared" ref="AX43" si="2">SUM(AX29:AZ29)</f>
        <v>0</v>
      </c>
      <c r="AY43">
        <f t="shared" ref="AY43" si="3">SUM(BA29:BC29)</f>
        <v>0</v>
      </c>
      <c r="AZ43">
        <f t="shared" ref="AZ43" si="4">SUM(BD29:BF29)</f>
        <v>0</v>
      </c>
      <c r="BA43">
        <f t="shared" ref="BA43" si="5">SUM(BG29:BI29)</f>
        <v>0</v>
      </c>
    </row>
  </sheetData>
  <mergeCells count="12">
    <mergeCell ref="R4:U4"/>
    <mergeCell ref="V4:Y4"/>
    <mergeCell ref="B4:E4"/>
    <mergeCell ref="A4:A5"/>
    <mergeCell ref="F4:I4"/>
    <mergeCell ref="J4:M4"/>
    <mergeCell ref="N4:Q4"/>
    <mergeCell ref="AL4:AO4"/>
    <mergeCell ref="AP4:AR4"/>
    <mergeCell ref="AH4:AK4"/>
    <mergeCell ref="AD4:AG4"/>
    <mergeCell ref="Z4:AC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MKH52Q7RF5JS-1303391851-1933</_dlc_DocId>
    <_dlc_DocIdUrl xmlns="ebce80bc-31f1-456e-bae0-275749261b0a">
      <Url>https://deps.intra.gov.bn/divisions/DOS/_layouts/15/DocIdRedir.aspx?ID=MKH52Q7RF5JS-1303391851-1933</Url>
      <Description>MKH52Q7RF5JS-1303391851-1933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7A233-6696-404A-95DE-E9C0530D3F9C}">
  <ds:schemaRefs>
    <ds:schemaRef ds:uri="http://schemas.microsoft.com/office/2006/documentManagement/types"/>
    <ds:schemaRef ds:uri="3eb395c1-c26a-485a-a474-2edaaa77b21c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ebce80bc-31f1-456e-bae0-275749261b0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AF1A2FE-B710-41CD-8870-D8D185E3D0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939C0C-7AA4-4BC0-9ABE-C4374FFF3CC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422F8CA-E070-4534-B5F9-A3A9F3BA9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2019-01-09T06:26:22Z</dcterms:created>
  <dcterms:modified xsi:type="dcterms:W3CDTF">2026-01-05T07:42:54Z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b9c714e5-1a47-46c7-b017-33b648b19c35</vt:lpwstr>
  </property>
</Properties>
</file>