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International Merchandise Trade Statistics\Monthly\new Oct 2025\"/>
    </mc:Choice>
  </mc:AlternateContent>
  <xr:revisionPtr revIDLastSave="0" documentId="13_ncr:1_{73D1F286-9262-4681-A5E1-CA6515721099}" xr6:coauthVersionLast="36" xr6:coauthVersionMax="36" xr10:uidLastSave="{00000000-0000-0000-0000-000000000000}"/>
  <bookViews>
    <workbookView xWindow="0" yWindow="0" windowWidth="21570" windowHeight="7890" activeTab="1" xr2:uid="{00000000-000D-0000-FFFF-FFFF00000000}"/>
  </bookViews>
  <sheets>
    <sheet name="Metadata" sheetId="2" r:id="rId1"/>
    <sheet name="Data" sheetId="1" r:id="rId2"/>
  </sheet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E6" i="1" l="1"/>
  <c r="DD6" i="1"/>
  <c r="DC6" i="1"/>
  <c r="DB6" i="1"/>
  <c r="DA6" i="1"/>
  <c r="CZ6" i="1"/>
  <c r="CY6" i="1"/>
  <c r="CX6" i="1"/>
  <c r="CW6" i="1"/>
  <c r="CV6" i="1"/>
  <c r="CU6" i="1"/>
  <c r="CT6" i="1" l="1"/>
  <c r="CS6" i="1"/>
  <c r="CR6" i="1" l="1"/>
  <c r="CQ6" i="1" l="1"/>
  <c r="CP6" i="1" l="1"/>
  <c r="CO6" i="1" l="1"/>
  <c r="CN6" i="1" l="1"/>
  <c r="CM6" i="1" l="1"/>
  <c r="CL6" i="1" l="1"/>
  <c r="CK6" i="1" l="1"/>
  <c r="CI7" i="1" l="1"/>
  <c r="CI11" i="1"/>
  <c r="CI8" i="1"/>
  <c r="CI6" i="1" l="1"/>
  <c r="CJ6" i="1"/>
  <c r="CH6" i="1" l="1"/>
  <c r="CG16" i="1"/>
  <c r="CG15" i="1"/>
  <c r="CG14" i="1"/>
  <c r="CG13" i="1"/>
  <c r="CG12" i="1"/>
  <c r="CG11" i="1"/>
  <c r="CG9" i="1"/>
  <c r="CG8" i="1"/>
  <c r="CG7" i="1"/>
  <c r="CF16" i="1"/>
  <c r="CF15" i="1"/>
  <c r="CF13" i="1"/>
  <c r="CF12" i="1"/>
  <c r="CF11" i="1"/>
  <c r="CF9" i="1"/>
  <c r="CF8" i="1"/>
  <c r="CF7" i="1"/>
  <c r="CG6" i="1" l="1"/>
  <c r="CF6" i="1"/>
  <c r="CE16" i="1"/>
  <c r="CE15" i="1"/>
  <c r="CE14" i="1"/>
  <c r="CE13" i="1"/>
  <c r="CE11" i="1"/>
  <c r="CE9" i="1"/>
  <c r="CE8" i="1"/>
  <c r="CE7" i="1"/>
  <c r="CD16" i="1"/>
  <c r="CD15" i="1"/>
  <c r="CD14" i="1"/>
  <c r="CD13" i="1"/>
  <c r="CD12" i="1"/>
  <c r="CD11" i="1"/>
  <c r="CD9" i="1"/>
  <c r="CD8" i="1"/>
  <c r="CD7" i="1"/>
  <c r="CD6" i="1" l="1"/>
  <c r="CE6" i="1"/>
  <c r="CC16" i="1"/>
  <c r="CC15" i="1"/>
  <c r="CC13" i="1"/>
  <c r="CC12" i="1"/>
  <c r="CC11" i="1"/>
  <c r="CC9" i="1"/>
  <c r="CC8" i="1"/>
  <c r="CC7" i="1"/>
  <c r="CC6" i="1" l="1"/>
  <c r="CB16" i="1"/>
  <c r="CB15" i="1"/>
  <c r="CB14" i="1"/>
  <c r="CB13" i="1"/>
  <c r="CB12" i="1"/>
  <c r="CB11" i="1"/>
  <c r="CB9" i="1"/>
  <c r="CB8" i="1"/>
  <c r="CB7" i="1"/>
  <c r="BY16" i="1"/>
  <c r="BY15" i="1"/>
  <c r="BY14" i="1"/>
  <c r="BY13" i="1"/>
  <c r="BY11" i="1"/>
  <c r="BY9" i="1"/>
  <c r="BY8" i="1"/>
  <c r="BY7" i="1"/>
  <c r="BX16" i="1"/>
  <c r="BX15" i="1"/>
  <c r="BX14" i="1"/>
  <c r="BX13" i="1"/>
  <c r="BX12" i="1"/>
  <c r="BX11" i="1"/>
  <c r="BX9" i="1"/>
  <c r="BX8" i="1"/>
  <c r="BX7" i="1"/>
  <c r="CA16" i="1"/>
  <c r="CA15" i="1"/>
  <c r="CA14" i="1"/>
  <c r="CA13" i="1"/>
  <c r="CA12" i="1"/>
  <c r="CA11" i="1"/>
  <c r="CA9" i="1"/>
  <c r="CA8" i="1"/>
  <c r="CA7" i="1"/>
  <c r="BZ16" i="1"/>
  <c r="BZ15" i="1"/>
  <c r="BZ14" i="1"/>
  <c r="BZ13" i="1"/>
  <c r="BZ12" i="1"/>
  <c r="BZ11" i="1"/>
  <c r="BZ9" i="1"/>
  <c r="BZ8" i="1"/>
  <c r="BZ7" i="1"/>
  <c r="BW16" i="1"/>
  <c r="BW15" i="1"/>
  <c r="BW14" i="1"/>
  <c r="BW13" i="1"/>
  <c r="BW12" i="1"/>
  <c r="BW11" i="1"/>
  <c r="BW9" i="1"/>
  <c r="BW8" i="1"/>
  <c r="BW7" i="1"/>
  <c r="BV16" i="1"/>
  <c r="BV15" i="1"/>
  <c r="BV14" i="1"/>
  <c r="BV13" i="1"/>
  <c r="BV12" i="1"/>
  <c r="BV11" i="1"/>
  <c r="BV9" i="1"/>
  <c r="BV8" i="1"/>
  <c r="BV7" i="1"/>
  <c r="BZ6" i="1" l="1"/>
  <c r="CA6" i="1"/>
  <c r="BV6" i="1"/>
  <c r="BX6" i="1"/>
  <c r="BW6" i="1"/>
  <c r="BY6" i="1"/>
  <c r="CB6" i="1"/>
  <c r="BU16" i="1"/>
  <c r="BU15" i="1"/>
  <c r="BU14" i="1"/>
  <c r="BU13" i="1"/>
  <c r="BU12" i="1"/>
  <c r="BU11" i="1"/>
  <c r="BU10" i="1"/>
  <c r="BU9" i="1"/>
  <c r="BU8" i="1"/>
  <c r="BU7" i="1"/>
  <c r="BS16" i="1" l="1"/>
  <c r="BS15" i="1"/>
  <c r="BS14" i="1"/>
  <c r="BS13" i="1"/>
  <c r="BS12" i="1"/>
  <c r="BS11" i="1"/>
  <c r="BS10" i="1"/>
  <c r="BS9" i="1"/>
  <c r="BS8" i="1"/>
  <c r="BS7" i="1"/>
  <c r="BT16" i="1" l="1"/>
  <c r="BT15" i="1"/>
  <c r="BT14" i="1"/>
  <c r="BT13" i="1"/>
  <c r="BT12" i="1"/>
  <c r="BT11" i="1"/>
  <c r="BT10" i="1"/>
  <c r="BT9" i="1"/>
  <c r="BT8" i="1"/>
  <c r="BT7" i="1"/>
  <c r="BR16" i="1" l="1"/>
  <c r="BQ16" i="1"/>
  <c r="BP16" i="1"/>
  <c r="BO16" i="1"/>
  <c r="BN16" i="1"/>
  <c r="BM16" i="1"/>
  <c r="BR15" i="1"/>
  <c r="BQ15" i="1"/>
  <c r="BP15" i="1"/>
  <c r="BO15" i="1"/>
  <c r="BN15" i="1"/>
  <c r="BM15" i="1"/>
  <c r="BR14" i="1"/>
  <c r="BQ14" i="1"/>
  <c r="BP14" i="1"/>
  <c r="BO14" i="1"/>
  <c r="BN14" i="1"/>
  <c r="BM14" i="1"/>
  <c r="BR13" i="1"/>
  <c r="BQ13" i="1"/>
  <c r="BP13" i="1"/>
  <c r="BO13" i="1"/>
  <c r="BN13" i="1"/>
  <c r="BM13" i="1"/>
  <c r="BR12" i="1"/>
  <c r="BQ12" i="1"/>
  <c r="BP12" i="1"/>
  <c r="BO12" i="1"/>
  <c r="BN12" i="1"/>
  <c r="BM12" i="1"/>
  <c r="BR11" i="1"/>
  <c r="BQ11" i="1"/>
  <c r="BP11" i="1"/>
  <c r="BO11" i="1"/>
  <c r="BN11" i="1"/>
  <c r="BM11" i="1"/>
  <c r="BR10" i="1"/>
  <c r="BQ10" i="1"/>
  <c r="BP10" i="1"/>
  <c r="BO10" i="1"/>
  <c r="BN10" i="1"/>
  <c r="BM10" i="1"/>
  <c r="BR9" i="1"/>
  <c r="BQ9" i="1"/>
  <c r="BP9" i="1"/>
  <c r="BO9" i="1"/>
  <c r="BN9" i="1"/>
  <c r="BM9" i="1"/>
  <c r="BR8" i="1"/>
  <c r="BQ8" i="1"/>
  <c r="BP8" i="1"/>
  <c r="BO8" i="1"/>
  <c r="BN8" i="1"/>
  <c r="BM8" i="1"/>
  <c r="BR7" i="1"/>
  <c r="BQ7" i="1"/>
  <c r="BP7" i="1"/>
  <c r="BO7" i="1"/>
  <c r="BN7" i="1"/>
  <c r="BM7" i="1"/>
  <c r="BQ6" i="1"/>
  <c r="BP6" i="1"/>
  <c r="BM6" i="1"/>
</calcChain>
</file>

<file path=xl/sharedStrings.xml><?xml version="1.0" encoding="utf-8"?>
<sst xmlns="http://schemas.openxmlformats.org/spreadsheetml/2006/main" count="194" uniqueCount="58">
  <si>
    <t>Commodity Section</t>
  </si>
  <si>
    <t>Total Import</t>
  </si>
  <si>
    <t xml:space="preserve">Food </t>
  </si>
  <si>
    <t>Beverages and Tobacco</t>
  </si>
  <si>
    <t xml:space="preserve">Crude Material Inedible </t>
  </si>
  <si>
    <t>Mineral fuels</t>
  </si>
  <si>
    <t>Animal and Vegetable Oils and Fats</t>
  </si>
  <si>
    <t>Chemicals</t>
  </si>
  <si>
    <t xml:space="preserve">Manufactured Goods </t>
  </si>
  <si>
    <t>Machinery and Transport Equipments</t>
  </si>
  <si>
    <t>Miscellaneous Manufactured Articles</t>
  </si>
  <si>
    <t>Miscellaneous Transaction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</si>
  <si>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</si>
  <si>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</si>
  <si>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</si>
  <si>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</si>
  <si>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</si>
  <si>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</si>
  <si>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</si>
  <si>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</si>
  <si>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</si>
  <si>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</si>
  <si>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</si>
  <si>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</si>
  <si>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Monthly - Imports by Commodity Section</t>
  </si>
  <si>
    <t xml:space="preserve">Source: </t>
  </si>
  <si>
    <t>BND Million</t>
  </si>
  <si>
    <t>Note:</t>
  </si>
  <si>
    <t xml:space="preserve"> - Total may not tally due to rounding</t>
  </si>
  <si>
    <t>Title of dataset:</t>
  </si>
  <si>
    <t xml:space="preserve">Imports by Commodity Section
</t>
  </si>
  <si>
    <t>Definition / Concept:</t>
  </si>
  <si>
    <t xml:space="preserve">Imports comprise of goods which are brought into Brunei Darussalam.
Imports are classified according to the United Nation Standard of International Trade Classification (SITC), Revision 4.
</t>
  </si>
  <si>
    <t>Frequency:</t>
  </si>
  <si>
    <t>Unit of measure:</t>
  </si>
  <si>
    <t xml:space="preserve">BND Million
</t>
  </si>
  <si>
    <t>Level of disaggregation:</t>
  </si>
  <si>
    <t xml:space="preserve">Total Import:
- Food 
- Beverages and Tobacco
- Crude Material Inedible 
- Mineral fuels
- Animal and Vegetable Oils and Fats
- Chemicals
- Manufactured Goods
- Machinery and Transport Equipments
- Miscellaneous Manufactured Articles
- Miscellaneous Transaction
</t>
  </si>
  <si>
    <t>Footnote:</t>
  </si>
  <si>
    <t xml:space="preserve">-
</t>
  </si>
  <si>
    <t>Data source:</t>
  </si>
  <si>
    <t xml:space="preserve">Department of Economic Planning and Statistics, Ministry of Finance and Economy.
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</si>
  <si>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</si>
  <si>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</si>
  <si>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</si>
  <si>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</si>
  <si>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</si>
  <si>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Monthly
</t>
  </si>
  <si>
    <t>Oktober</t>
  </si>
  <si>
    <t>Data last updated:</t>
  </si>
  <si>
    <t xml:space="preserve"> - Department of Economic Planning and Statistics, Ministry of Finance and Economy</t>
  </si>
  <si>
    <t>…</t>
  </si>
  <si>
    <t xml:space="preserve"> - '-' means Nil</t>
  </si>
  <si>
    <t xml:space="preserve"> - '…' means Not Available</t>
  </si>
  <si>
    <t xml:space="preserve">January 2015 - October 2025
</t>
  </si>
  <si>
    <t>24/12/2025</t>
  </si>
  <si>
    <t xml:space="preserve">https://deps.mofe.gov.bn/e-data-library/
</t>
  </si>
  <si>
    <t xml:space="preserve">https://deps.mofe.gov.bn/terms-of-use/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</si>
</sst>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0_);\(0\)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0.0"/>
    <numFmt numFmtId="170" formatCode="#,##0\ \ "/>
    <numFmt numFmtId="171" formatCode="_(* #,##0.0_);_(* \(#,##0.0\);_(* &quot;-&quot;?_);_(@_)"/>
    <numFmt numFmtId="17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4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left" vertical="center" wrapText="1"/>
    </xf>
    <xf numFmtId="165" fontId="4" fillId="0" borderId="2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165" fontId="4" fillId="0" borderId="5" xfId="2" applyNumberFormat="1" applyFont="1" applyFill="1" applyBorder="1" applyAlignment="1">
      <alignment horizontal="center" vertical="center"/>
    </xf>
    <xf numFmtId="0" fontId="2" fillId="0" borderId="3" xfId="2" applyFont="1" applyBorder="1" applyAlignment="1" applyProtection="1">
      <alignment horizontal="left" vertical="center" indent="1"/>
    </xf>
    <xf numFmtId="0" fontId="2" fillId="0" borderId="14" xfId="2" applyFont="1" applyBorder="1" applyAlignment="1" applyProtection="1">
      <alignment horizontal="left" vertical="center" indent="1"/>
    </xf>
    <xf numFmtId="0" fontId="2" fillId="0" borderId="4" xfId="2" applyFont="1" applyBorder="1" applyAlignment="1" applyProtection="1">
      <alignment horizontal="left" vertical="center" indent="1"/>
    </xf>
    <xf numFmtId="165" fontId="4" fillId="0" borderId="6" xfId="2" applyNumberFormat="1" applyFont="1" applyFill="1" applyBorder="1" applyAlignment="1">
      <alignment horizontal="center" vertical="center"/>
    </xf>
    <xf numFmtId="165" fontId="4" fillId="0" borderId="7" xfId="2" applyNumberFormat="1" applyFont="1" applyFill="1" applyBorder="1" applyAlignment="1">
      <alignment horizontal="center" vertical="center"/>
    </xf>
    <xf numFmtId="165" fontId="4" fillId="0" borderId="8" xfId="2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top"/>
    </xf>
    <xf numFmtId="0" fontId="5" fillId="0" borderId="15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2" fillId="0" borderId="15" xfId="0" applyFont="1" applyFill="1" applyBorder="1" applyAlignment="1">
      <alignment horizontal="justify" vertical="top" wrapText="1"/>
    </xf>
    <xf numFmtId="0" fontId="2" fillId="0" borderId="15" xfId="0" quotePrefix="1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5" xfId="6" applyFont="1" applyFill="1" applyBorder="1" applyAlignment="1">
      <alignment vertical="top" wrapText="1"/>
    </xf>
    <xf numFmtId="0" fontId="4" fillId="0" borderId="0" xfId="2" applyFont="1" applyAlignment="1" applyProtection="1">
      <alignment vertical="center" wrapText="1"/>
    </xf>
    <xf numFmtId="166" fontId="5" fillId="0" borderId="0" xfId="0" applyNumberFormat="1" applyFont="1"/>
    <xf numFmtId="167" fontId="5" fillId="0" borderId="0" xfId="0" applyNumberFormat="1" applyFont="1" applyBorder="1"/>
    <xf numFmtId="165" fontId="4" fillId="0" borderId="9" xfId="2" applyNumberFormat="1" applyFont="1" applyFill="1" applyBorder="1" applyAlignment="1">
      <alignment horizontal="center" vertical="center"/>
    </xf>
    <xf numFmtId="165" fontId="4" fillId="0" borderId="0" xfId="2" applyNumberFormat="1" applyFont="1" applyFill="1" applyBorder="1" applyAlignment="1">
      <alignment horizontal="center" vertical="center"/>
    </xf>
    <xf numFmtId="167" fontId="5" fillId="0" borderId="0" xfId="0" applyNumberFormat="1" applyFont="1"/>
    <xf numFmtId="0" fontId="5" fillId="0" borderId="0" xfId="0" applyFont="1" applyBorder="1"/>
    <xf numFmtId="165" fontId="4" fillId="0" borderId="12" xfId="2" applyNumberFormat="1" applyFont="1" applyFill="1" applyBorder="1" applyAlignment="1">
      <alignment horizontal="center" vertical="center"/>
    </xf>
    <xf numFmtId="167" fontId="4" fillId="0" borderId="12" xfId="2" applyNumberFormat="1" applyFont="1" applyFill="1" applyBorder="1" applyAlignment="1">
      <alignment horizontal="center" vertical="center"/>
    </xf>
    <xf numFmtId="165" fontId="4" fillId="0" borderId="11" xfId="2" applyNumberFormat="1" applyFont="1" applyFill="1" applyBorder="1" applyAlignment="1">
      <alignment horizontal="center" vertical="center"/>
    </xf>
    <xf numFmtId="165" fontId="4" fillId="0" borderId="13" xfId="2" applyNumberFormat="1" applyFont="1" applyFill="1" applyBorder="1" applyAlignment="1">
      <alignment horizontal="center" vertical="center"/>
    </xf>
    <xf numFmtId="166" fontId="2" fillId="0" borderId="6" xfId="1" applyNumberFormat="1" applyFont="1" applyBorder="1"/>
    <xf numFmtId="166" fontId="2" fillId="0" borderId="7" xfId="1" applyNumberFormat="1" applyFont="1" applyBorder="1"/>
    <xf numFmtId="166" fontId="2" fillId="0" borderId="8" xfId="1" applyNumberFormat="1" applyFont="1" applyBorder="1"/>
    <xf numFmtId="166" fontId="2" fillId="0" borderId="9" xfId="1" applyNumberFormat="1" applyFont="1" applyBorder="1"/>
    <xf numFmtId="166" fontId="2" fillId="0" borderId="0" xfId="1" applyNumberFormat="1" applyFont="1" applyBorder="1"/>
    <xf numFmtId="166" fontId="2" fillId="0" borderId="10" xfId="1" applyNumberFormat="1" applyFont="1" applyBorder="1"/>
    <xf numFmtId="166" fontId="2" fillId="0" borderId="11" xfId="1" applyNumberFormat="1" applyFont="1" applyBorder="1"/>
    <xf numFmtId="166" fontId="2" fillId="0" borderId="12" xfId="1" applyNumberFormat="1" applyFont="1" applyBorder="1"/>
    <xf numFmtId="166" fontId="2" fillId="0" borderId="13" xfId="1" applyNumberFormat="1" applyFont="1" applyBorder="1"/>
    <xf numFmtId="166" fontId="5" fillId="0" borderId="0" xfId="1" applyNumberFormat="1" applyFont="1"/>
    <xf numFmtId="168" fontId="5" fillId="0" borderId="0" xfId="1" applyNumberFormat="1" applyFont="1"/>
    <xf numFmtId="166" fontId="5" fillId="0" borderId="12" xfId="1" applyNumberFormat="1" applyFont="1" applyBorder="1"/>
    <xf numFmtId="164" fontId="5" fillId="0" borderId="0" xfId="0" applyNumberFormat="1" applyFont="1"/>
    <xf numFmtId="169" fontId="5" fillId="0" borderId="0" xfId="0" applyNumberFormat="1" applyFont="1"/>
    <xf numFmtId="170" fontId="8" fillId="0" borderId="0" xfId="4" applyNumberFormat="1" applyFont="1" applyBorder="1" applyAlignment="1">
      <alignment vertical="center"/>
    </xf>
    <xf numFmtId="171" fontId="5" fillId="0" borderId="0" xfId="0" applyNumberFormat="1" applyFont="1"/>
    <xf numFmtId="166" fontId="2" fillId="0" borderId="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3" xfId="3" applyFont="1" applyBorder="1" applyAlignment="1" applyProtection="1">
      <alignment horizontal="center" vertical="center"/>
    </xf>
    <xf numFmtId="0" fontId="4" fillId="0" borderId="6" xfId="3" applyFont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5" xfId="0" applyFont="1" applyFill="1" applyBorder="1" applyAlignment="1">
      <alignment vertical="top" wrapText="1"/>
    </xf>
    <xf numFmtId="14" fontId="5" fillId="0" borderId="15" xfId="0" quotePrefix="1" applyNumberFormat="1" applyFont="1" applyFill="1" applyBorder="1" applyAlignment="1">
      <alignment horizontal="left" vertical="top" wrapText="1"/>
    </xf>
    <xf numFmtId="0" fontId="9" fillId="0" borderId="15" xfId="6" quotePrefix="1" applyFont="1" applyFill="1" applyBorder="1" applyAlignment="1">
      <alignment vertical="top" wrapText="1"/>
    </xf>
    <xf numFmtId="0" fontId="9" fillId="0" borderId="15" xfId="6" applyFont="1" applyFill="1" applyBorder="1" applyAlignment="1">
      <alignment vertical="top" wrapText="1"/>
    </xf>
  </cellXfs>
  <cellStyles count="19">
    <cellStyle name="Comma" xfId="1" builtinId="3"/>
    <cellStyle name="Comma 2" xfId="5" xr:uid="{00000000-0005-0000-0000-000001000000}"/>
    <cellStyle name="Comma 2 2" xfId="7" xr:uid="{00000000-0005-0000-0000-000035000000}"/>
    <cellStyle name="Comma 2 2 2" xfId="13" xr:uid="{00000000-0005-0000-0000-000035000000}"/>
    <cellStyle name="Comma 2 2 3" xfId="16" xr:uid="{00000000-0005-0000-0000-000035000000}"/>
    <cellStyle name="Comma 3" xfId="8" xr:uid="{00000000-0005-0000-0000-000036000000}"/>
    <cellStyle name="Comma 3 2" xfId="14" xr:uid="{00000000-0005-0000-0000-000036000000}"/>
    <cellStyle name="Comma 3 3" xfId="17" xr:uid="{00000000-0005-0000-0000-000036000000}"/>
    <cellStyle name="Comma 4" xfId="9" xr:uid="{00000000-0005-0000-0000-000037000000}"/>
    <cellStyle name="Comma 4 2" xfId="15" xr:uid="{00000000-0005-0000-0000-000037000000}"/>
    <cellStyle name="Comma 4 3" xfId="18" xr:uid="{00000000-0005-0000-0000-000037000000}"/>
    <cellStyle name="Hyperlink" xfId="6" builtinId="8"/>
    <cellStyle name="Normal" xfId="0" builtinId="0"/>
    <cellStyle name="Normal 2" xfId="4" xr:uid="{00000000-0005-0000-0000-000004000000}"/>
    <cellStyle name="Normal 2 2" xfId="10" xr:uid="{00000000-0005-0000-0000-000038000000}"/>
    <cellStyle name="Normal 3" xfId="11" xr:uid="{00000000-0005-0000-0000-000039000000}"/>
    <cellStyle name="Normal 4" xfId="12" xr:uid="{00000000-0005-0000-0000-00003A000000}"/>
    <cellStyle name="Normal_6" xfId="3" xr:uid="{00000000-0005-0000-0000-000005000000}"/>
    <cellStyle name="Normal_6_1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ps.mofe.gov.bn/terms-of-us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3"/>
  <sheetViews>
    <sheetView topLeftCell="A2" workbookViewId="0">
      <selection activeCell="D9" sqref="D9"/>
    </sheetView>
  </sheetViews>
  <sheetFormatPr defaultColWidth="8.7109375" defaultRowHeight="15" x14ac:dyDescent="0.25"/>
  <cols>
    <col min="1" max="1" width="5.5703125" style="16" customWidth="1"/>
    <col min="2" max="2" width="52.5703125" style="16" customWidth="1"/>
    <col min="3" max="3" width="87.5703125" style="16" customWidth="1"/>
    <col min="4" max="4" width="16" style="16" customWidth="1"/>
    <col min="5" max="16384" width="8.7109375" style="16"/>
  </cols>
  <sheetData>
    <row r="2" spans="2:4" ht="30" x14ac:dyDescent="0.25">
      <c r="B2" s="13" t="s">
        <v>29</v>
      </c>
      <c r="C2" s="14" t="s">
        <v>30</v>
      </c>
      <c r="D2" s="15"/>
    </row>
    <row r="3" spans="2:4" ht="60" x14ac:dyDescent="0.25">
      <c r="B3" s="13" t="s">
        <v>31</v>
      </c>
      <c r="C3" s="17" t="s">
        <v>32</v>
      </c>
    </row>
    <row r="4" spans="2:4" ht="30" x14ac:dyDescent="0.25">
      <c r="B4" s="13" t="s">
        <v>33</v>
      </c>
      <c r="C4" s="14" t="s">
        <v>47</v>
      </c>
    </row>
    <row r="5" spans="2:4" ht="30" x14ac:dyDescent="0.25">
      <c r="B5" s="13" t="s">
        <v>34</v>
      </c>
      <c r="C5" s="14" t="s">
        <v>35</v>
      </c>
    </row>
    <row r="6" spans="2:4" ht="180" x14ac:dyDescent="0.25">
      <c r="B6" s="13" t="s">
        <v>36</v>
      </c>
      <c r="C6" s="14" t="s">
        <v>37</v>
      </c>
    </row>
    <row r="7" spans="2:4" ht="30" x14ac:dyDescent="0.25">
      <c r="B7" s="13" t="s">
        <v>38</v>
      </c>
      <c r="C7" s="18" t="s">
        <v>39</v>
      </c>
    </row>
    <row r="8" spans="2:4" ht="30" x14ac:dyDescent="0.25">
      <c r="B8" s="13" t="s">
        <v>40</v>
      </c>
      <c r="C8" s="19" t="s">
        <v>41</v>
      </c>
    </row>
    <row r="9" spans="2:4" ht="30" x14ac:dyDescent="0.25">
      <c r="B9" s="13" t="s">
        <v>42</v>
      </c>
      <c r="C9" s="20" t="s">
        <v>54</v>
      </c>
    </row>
    <row r="10" spans="2:4" ht="30" x14ac:dyDescent="0.25">
      <c r="B10" s="13" t="s">
        <v>43</v>
      </c>
      <c r="C10" s="62" t="s">
        <v>56</v>
      </c>
    </row>
    <row r="11" spans="2:4" ht="30" x14ac:dyDescent="0.25">
      <c r="B11" s="13" t="s">
        <v>44</v>
      </c>
      <c r="C11" s="60" t="s">
        <v>45</v>
      </c>
    </row>
    <row r="12" spans="2:4" ht="30" x14ac:dyDescent="0.25">
      <c r="B12" s="13" t="s">
        <v>46</v>
      </c>
      <c r="C12" s="63" t="s">
        <v>57</v>
      </c>
    </row>
    <row r="13" spans="2:4" x14ac:dyDescent="0.25">
      <c r="B13" s="13" t="s">
        <v>49</v>
      </c>
      <c r="C13" s="61" t="s">
        <v>55</v>
      </c>
    </row>
  </sheetData>
  <hyperlinks>
    <hyperlink ref="C12" r:id="rId1" xr:uid="{77E70BB0-90EE-4142-90F2-B84AA7ECDFBE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L69"/>
  <sheetViews>
    <sheetView tabSelected="1" zoomScale="85" zoomScaleNormal="85" workbookViewId="0">
      <pane xSplit="1" topLeftCell="DY1" activePane="topRight" state="frozen"/>
      <selection pane="topRight" activeCell="EA16" sqref="EA16"/>
    </sheetView>
  </sheetViews>
  <sheetFormatPr defaultColWidth="9.140625" defaultRowHeight="15.75" x14ac:dyDescent="0.25"/>
  <cols>
    <col min="1" max="1" width="47.7109375" style="1" customWidth="1"/>
    <col min="2" max="17" width="14.7109375" style="1" customWidth="1"/>
    <col min="18" max="18" width="14.7109375" customWidth="1"/>
    <col min="19" max="100" width="14.7109375" style="1" customWidth="1"/>
    <col min="101" max="101" width="14.7109375" style="26" customWidth="1"/>
    <col min="102" max="102" width="14.7109375" style="1" customWidth="1"/>
    <col min="103" max="103" width="14.7109375" style="26" customWidth="1"/>
    <col min="104" max="131" width="14.7109375" style="1" customWidth="1"/>
    <col min="132" max="132" width="9.140625" style="1"/>
    <col min="133" max="133" width="10.85546875" style="1" bestFit="1" customWidth="1"/>
    <col min="134" max="16384" width="9.140625" style="1"/>
  </cols>
  <sheetData>
    <row r="1" spans="1:133" ht="15.75" customHeight="1" x14ac:dyDescent="0.25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3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3" ht="15.75" customHeight="1" x14ac:dyDescent="0.25">
      <c r="A3" s="3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3" x14ac:dyDescent="0.25">
      <c r="A4" s="51" t="s">
        <v>0</v>
      </c>
      <c r="B4" s="56">
        <v>2015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  <c r="N4" s="53">
        <v>2016</v>
      </c>
      <c r="O4" s="54"/>
      <c r="P4" s="54"/>
      <c r="Q4" s="54"/>
      <c r="R4" s="54"/>
      <c r="S4" s="54"/>
      <c r="T4" s="54"/>
      <c r="U4" s="54"/>
      <c r="V4" s="54"/>
      <c r="W4" s="54"/>
      <c r="X4" s="54"/>
      <c r="Y4" s="55"/>
      <c r="Z4" s="53">
        <v>2017</v>
      </c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5"/>
      <c r="AL4" s="53">
        <v>2018</v>
      </c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5"/>
      <c r="AX4" s="53">
        <v>2019</v>
      </c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5"/>
      <c r="BJ4" s="53">
        <v>2020</v>
      </c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5"/>
      <c r="BV4" s="58">
        <v>2021</v>
      </c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3"/>
      <c r="CH4" s="53">
        <v>2022</v>
      </c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5"/>
      <c r="CT4" s="53">
        <v>2023</v>
      </c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5"/>
      <c r="DF4" s="53">
        <v>2024</v>
      </c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5"/>
      <c r="DR4" s="53">
        <v>2025</v>
      </c>
      <c r="DS4" s="59"/>
      <c r="DT4" s="59"/>
      <c r="DU4" s="59"/>
      <c r="DV4" s="59"/>
      <c r="DW4" s="59"/>
      <c r="DX4" s="59"/>
      <c r="DY4" s="59"/>
      <c r="DZ4" s="59"/>
      <c r="EA4" s="55"/>
    </row>
    <row r="5" spans="1:133" x14ac:dyDescent="0.2">
      <c r="A5" s="52"/>
      <c r="B5" s="5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5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6" t="s">
        <v>18</v>
      </c>
      <c r="U5" s="6" t="s">
        <v>19</v>
      </c>
      <c r="V5" s="6" t="s">
        <v>20</v>
      </c>
      <c r="W5" s="6" t="s">
        <v>21</v>
      </c>
      <c r="X5" s="6" t="s">
        <v>22</v>
      </c>
      <c r="Y5" s="4" t="s">
        <v>23</v>
      </c>
      <c r="Z5" s="5" t="s">
        <v>12</v>
      </c>
      <c r="AA5" s="6" t="s">
        <v>13</v>
      </c>
      <c r="AB5" s="6" t="s">
        <v>14</v>
      </c>
      <c r="AC5" s="6" t="s">
        <v>15</v>
      </c>
      <c r="AD5" s="6" t="s">
        <v>16</v>
      </c>
      <c r="AE5" s="6" t="s">
        <v>17</v>
      </c>
      <c r="AF5" s="6" t="s">
        <v>18</v>
      </c>
      <c r="AG5" s="6" t="s">
        <v>19</v>
      </c>
      <c r="AH5" s="6" t="s">
        <v>20</v>
      </c>
      <c r="AI5" s="6" t="s">
        <v>21</v>
      </c>
      <c r="AJ5" s="6" t="s">
        <v>22</v>
      </c>
      <c r="AK5" s="4" t="s">
        <v>23</v>
      </c>
      <c r="AL5" s="5" t="s">
        <v>12</v>
      </c>
      <c r="AM5" s="6" t="s">
        <v>13</v>
      </c>
      <c r="AN5" s="6" t="s">
        <v>14</v>
      </c>
      <c r="AO5" s="6" t="s">
        <v>15</v>
      </c>
      <c r="AP5" s="6" t="s">
        <v>16</v>
      </c>
      <c r="AQ5" s="6" t="s">
        <v>17</v>
      </c>
      <c r="AR5" s="6" t="s">
        <v>18</v>
      </c>
      <c r="AS5" s="6" t="s">
        <v>19</v>
      </c>
      <c r="AT5" s="6" t="s">
        <v>20</v>
      </c>
      <c r="AU5" s="6" t="s">
        <v>21</v>
      </c>
      <c r="AV5" s="6" t="s">
        <v>22</v>
      </c>
      <c r="AW5" s="4" t="s">
        <v>23</v>
      </c>
      <c r="AX5" s="5" t="s">
        <v>12</v>
      </c>
      <c r="AY5" s="6" t="s">
        <v>13</v>
      </c>
      <c r="AZ5" s="6" t="s">
        <v>14</v>
      </c>
      <c r="BA5" s="6" t="s">
        <v>15</v>
      </c>
      <c r="BB5" s="6" t="s">
        <v>16</v>
      </c>
      <c r="BC5" s="6" t="s">
        <v>17</v>
      </c>
      <c r="BD5" s="6" t="s">
        <v>18</v>
      </c>
      <c r="BE5" s="6" t="s">
        <v>19</v>
      </c>
      <c r="BF5" s="6" t="s">
        <v>20</v>
      </c>
      <c r="BG5" s="6" t="s">
        <v>21</v>
      </c>
      <c r="BH5" s="6" t="s">
        <v>22</v>
      </c>
      <c r="BI5" s="4" t="s">
        <v>23</v>
      </c>
      <c r="BJ5" s="10" t="s">
        <v>12</v>
      </c>
      <c r="BK5" s="6" t="s">
        <v>13</v>
      </c>
      <c r="BL5" s="6" t="s">
        <v>14</v>
      </c>
      <c r="BM5" s="6" t="s">
        <v>15</v>
      </c>
      <c r="BN5" s="11" t="s">
        <v>16</v>
      </c>
      <c r="BO5" s="11" t="s">
        <v>17</v>
      </c>
      <c r="BP5" s="11" t="s">
        <v>18</v>
      </c>
      <c r="BQ5" s="11" t="s">
        <v>19</v>
      </c>
      <c r="BR5" s="11" t="s">
        <v>20</v>
      </c>
      <c r="BS5" s="11" t="s">
        <v>21</v>
      </c>
      <c r="BT5" s="11" t="s">
        <v>22</v>
      </c>
      <c r="BU5" s="12" t="s">
        <v>23</v>
      </c>
      <c r="BV5" s="24" t="s">
        <v>12</v>
      </c>
      <c r="BW5" s="25" t="s">
        <v>13</v>
      </c>
      <c r="BX5" s="25" t="s">
        <v>14</v>
      </c>
      <c r="BY5" s="25" t="s">
        <v>15</v>
      </c>
      <c r="BZ5" s="25" t="s">
        <v>16</v>
      </c>
      <c r="CA5" s="25" t="s">
        <v>17</v>
      </c>
      <c r="CB5" s="25" t="s">
        <v>18</v>
      </c>
      <c r="CC5" s="6" t="s">
        <v>19</v>
      </c>
      <c r="CD5" s="6" t="s">
        <v>20</v>
      </c>
      <c r="CE5" s="6" t="s">
        <v>48</v>
      </c>
      <c r="CF5" s="6" t="s">
        <v>22</v>
      </c>
      <c r="CG5" s="6" t="s">
        <v>23</v>
      </c>
      <c r="CH5" s="5" t="s">
        <v>12</v>
      </c>
      <c r="CI5" s="28" t="s">
        <v>13</v>
      </c>
      <c r="CJ5" s="28" t="s">
        <v>14</v>
      </c>
      <c r="CK5" s="28" t="s">
        <v>15</v>
      </c>
      <c r="CL5" s="29" t="s">
        <v>16</v>
      </c>
      <c r="CM5" s="29" t="s">
        <v>17</v>
      </c>
      <c r="CN5" s="29" t="s">
        <v>18</v>
      </c>
      <c r="CO5" s="28" t="s">
        <v>19</v>
      </c>
      <c r="CP5" s="28" t="s">
        <v>20</v>
      </c>
      <c r="CQ5" s="28" t="s">
        <v>21</v>
      </c>
      <c r="CR5" s="28" t="s">
        <v>22</v>
      </c>
      <c r="CS5" s="31" t="s">
        <v>23</v>
      </c>
      <c r="CT5" s="30" t="s">
        <v>12</v>
      </c>
      <c r="CU5" s="28" t="s">
        <v>13</v>
      </c>
      <c r="CV5" s="28" t="s">
        <v>14</v>
      </c>
      <c r="CW5" s="28" t="s">
        <v>15</v>
      </c>
      <c r="CX5" s="28" t="s">
        <v>16</v>
      </c>
      <c r="CY5" s="28" t="s">
        <v>17</v>
      </c>
      <c r="CZ5" s="28" t="s">
        <v>18</v>
      </c>
      <c r="DA5" s="28" t="s">
        <v>19</v>
      </c>
      <c r="DB5" s="28" t="s">
        <v>20</v>
      </c>
      <c r="DC5" s="28" t="s">
        <v>21</v>
      </c>
      <c r="DD5" s="28" t="s">
        <v>22</v>
      </c>
      <c r="DE5" s="4" t="s">
        <v>23</v>
      </c>
      <c r="DF5" s="30" t="s">
        <v>12</v>
      </c>
      <c r="DG5" s="28" t="s">
        <v>13</v>
      </c>
      <c r="DH5" s="28" t="s">
        <v>14</v>
      </c>
      <c r="DI5" s="28" t="s">
        <v>15</v>
      </c>
      <c r="DJ5" s="28" t="s">
        <v>16</v>
      </c>
      <c r="DK5" s="28" t="s">
        <v>17</v>
      </c>
      <c r="DL5" s="28" t="s">
        <v>18</v>
      </c>
      <c r="DM5" s="28" t="s">
        <v>19</v>
      </c>
      <c r="DN5" s="28" t="s">
        <v>20</v>
      </c>
      <c r="DO5" s="28" t="s">
        <v>21</v>
      </c>
      <c r="DP5" s="28" t="s">
        <v>22</v>
      </c>
      <c r="DQ5" s="4" t="s">
        <v>23</v>
      </c>
      <c r="DR5" s="24" t="s">
        <v>12</v>
      </c>
      <c r="DS5" s="6" t="s">
        <v>13</v>
      </c>
      <c r="DT5" s="6" t="s">
        <v>14</v>
      </c>
      <c r="DU5" s="6" t="s">
        <v>15</v>
      </c>
      <c r="DV5" s="6" t="s">
        <v>16</v>
      </c>
      <c r="DW5" s="6" t="s">
        <v>17</v>
      </c>
      <c r="DX5" s="6" t="s">
        <v>18</v>
      </c>
      <c r="DY5" s="6" t="s">
        <v>19</v>
      </c>
      <c r="DZ5" s="6" t="s">
        <v>20</v>
      </c>
      <c r="EA5" s="4" t="s">
        <v>21</v>
      </c>
    </row>
    <row r="6" spans="1:133" ht="15" x14ac:dyDescent="0.2">
      <c r="A6" s="7" t="s">
        <v>1</v>
      </c>
      <c r="B6" s="32">
        <v>295.24305500000003</v>
      </c>
      <c r="C6" s="33">
        <v>263.686893</v>
      </c>
      <c r="D6" s="33">
        <v>340.37943000000001</v>
      </c>
      <c r="E6" s="33">
        <v>349.92172799999997</v>
      </c>
      <c r="F6" s="33">
        <v>407.0498</v>
      </c>
      <c r="G6" s="33">
        <v>426.71501799999999</v>
      </c>
      <c r="H6" s="33">
        <v>613.28867100000002</v>
      </c>
      <c r="I6" s="33">
        <v>299.10011800000001</v>
      </c>
      <c r="J6" s="33">
        <v>444.623985</v>
      </c>
      <c r="K6" s="33">
        <v>342.233901</v>
      </c>
      <c r="L6" s="33">
        <v>341.00919900000002</v>
      </c>
      <c r="M6" s="34">
        <v>324.29486300000002</v>
      </c>
      <c r="N6" s="32">
        <v>384.06109800000002</v>
      </c>
      <c r="O6" s="33">
        <v>240.74824799999999</v>
      </c>
      <c r="P6" s="33">
        <v>354.302865</v>
      </c>
      <c r="Q6" s="33">
        <v>316.36790200000002</v>
      </c>
      <c r="R6" s="33">
        <v>314.15792299999998</v>
      </c>
      <c r="S6" s="33">
        <v>337.31550299999998</v>
      </c>
      <c r="T6" s="33">
        <v>260.11773099999999</v>
      </c>
      <c r="U6" s="33">
        <v>318.04353600000002</v>
      </c>
      <c r="V6" s="33">
        <v>265.31778300000002</v>
      </c>
      <c r="W6" s="33">
        <v>299.27681999999999</v>
      </c>
      <c r="X6" s="33">
        <v>289.61828700000001</v>
      </c>
      <c r="Y6" s="34">
        <v>309.64185400000002</v>
      </c>
      <c r="Z6" s="32">
        <v>325.75406099999998</v>
      </c>
      <c r="AA6" s="33">
        <v>273.00669599999998</v>
      </c>
      <c r="AB6" s="33">
        <v>397.938196</v>
      </c>
      <c r="AC6" s="33">
        <v>319.25570699999997</v>
      </c>
      <c r="AD6" s="33">
        <v>343.71828599999998</v>
      </c>
      <c r="AE6" s="33">
        <v>391.13887499999998</v>
      </c>
      <c r="AF6" s="33">
        <v>286.621871</v>
      </c>
      <c r="AG6" s="33">
        <v>431.49743000000001</v>
      </c>
      <c r="AH6" s="33">
        <v>429.66117400000002</v>
      </c>
      <c r="AI6" s="33">
        <v>351.61505199999999</v>
      </c>
      <c r="AJ6" s="33">
        <v>316.135333</v>
      </c>
      <c r="AK6" s="34">
        <v>390.48772200000002</v>
      </c>
      <c r="AL6" s="32">
        <v>328.19442199999997</v>
      </c>
      <c r="AM6" s="33">
        <v>323.15051199999999</v>
      </c>
      <c r="AN6" s="33">
        <v>390.37781100000001</v>
      </c>
      <c r="AO6" s="33">
        <v>413.22182800000002</v>
      </c>
      <c r="AP6" s="33">
        <v>481.55320599999999</v>
      </c>
      <c r="AQ6" s="33">
        <v>542.30131500000005</v>
      </c>
      <c r="AR6" s="33">
        <v>474.34030200000001</v>
      </c>
      <c r="AS6" s="33">
        <v>479.074252</v>
      </c>
      <c r="AT6" s="33">
        <v>542.96741099999997</v>
      </c>
      <c r="AU6" s="33">
        <v>551.44381199999998</v>
      </c>
      <c r="AV6" s="33">
        <v>536.60967900000003</v>
      </c>
      <c r="AW6" s="34">
        <v>559.07251399999996</v>
      </c>
      <c r="AX6" s="32">
        <v>484.12645500000002</v>
      </c>
      <c r="AY6" s="33">
        <v>337.00836600000002</v>
      </c>
      <c r="AZ6" s="33">
        <v>409.95670999999999</v>
      </c>
      <c r="BA6" s="33">
        <v>421.46961599999997</v>
      </c>
      <c r="BB6" s="33">
        <v>572.55703600000004</v>
      </c>
      <c r="BC6" s="33">
        <v>595.40737200000001</v>
      </c>
      <c r="BD6" s="33">
        <v>419.00993699999998</v>
      </c>
      <c r="BE6" s="33">
        <v>405.25374599999998</v>
      </c>
      <c r="BF6" s="33">
        <v>432.99974900000001</v>
      </c>
      <c r="BG6" s="33">
        <v>725.36059399999999</v>
      </c>
      <c r="BH6" s="33">
        <v>973.20957299999998</v>
      </c>
      <c r="BI6" s="34">
        <v>1180.54793</v>
      </c>
      <c r="BJ6" s="32">
        <v>608.76085599999999</v>
      </c>
      <c r="BK6" s="33">
        <v>389.53685200000001</v>
      </c>
      <c r="BL6" s="33">
        <v>353.31969500000002</v>
      </c>
      <c r="BM6" s="33">
        <f>416396886/1000000</f>
        <v>416.39688599999999</v>
      </c>
      <c r="BN6" s="33">
        <v>437.6</v>
      </c>
      <c r="BO6" s="33">
        <v>595.20000000000005</v>
      </c>
      <c r="BP6" s="33">
        <f>822206911/1000000</f>
        <v>822.20691099999999</v>
      </c>
      <c r="BQ6" s="33">
        <f>763846340/1000000</f>
        <v>763.84634000000005</v>
      </c>
      <c r="BR6" s="33">
        <v>585.70000000000005</v>
      </c>
      <c r="BS6" s="33">
        <v>932.1</v>
      </c>
      <c r="BT6" s="33">
        <v>717.7</v>
      </c>
      <c r="BU6" s="34">
        <v>716.2</v>
      </c>
      <c r="BV6" s="32">
        <f>SUM(BV7:BV16)</f>
        <v>659.736986</v>
      </c>
      <c r="BW6" s="33">
        <f t="shared" ref="BW6:CG6" si="0">SUM(BW7:BW16)</f>
        <v>564.56145300000003</v>
      </c>
      <c r="BX6" s="33">
        <f t="shared" si="0"/>
        <v>778.375494</v>
      </c>
      <c r="BY6" s="33">
        <f t="shared" si="0"/>
        <v>771.75326100000007</v>
      </c>
      <c r="BZ6" s="33">
        <f t="shared" si="0"/>
        <v>762.11487399999999</v>
      </c>
      <c r="CA6" s="33">
        <f t="shared" si="0"/>
        <v>894.22213999999997</v>
      </c>
      <c r="CB6" s="33">
        <f t="shared" si="0"/>
        <v>838.6271260000002</v>
      </c>
      <c r="CC6" s="33">
        <f t="shared" si="0"/>
        <v>772.12981200000002</v>
      </c>
      <c r="CD6" s="33">
        <f t="shared" si="0"/>
        <v>952.26040500000022</v>
      </c>
      <c r="CE6" s="33">
        <f t="shared" si="0"/>
        <v>975.9427740000001</v>
      </c>
      <c r="CF6" s="33">
        <f t="shared" si="0"/>
        <v>735.40307199999995</v>
      </c>
      <c r="CG6" s="34">
        <f t="shared" si="0"/>
        <v>1016.553161</v>
      </c>
      <c r="CH6" s="32">
        <f>SUM(CH7:CH16)</f>
        <v>974.56603199999984</v>
      </c>
      <c r="CI6" s="33">
        <f t="shared" ref="CI6:CJ6" si="1">SUM(CI7:CI16)</f>
        <v>794.91487399999994</v>
      </c>
      <c r="CJ6" s="33">
        <f t="shared" si="1"/>
        <v>800.21673599999997</v>
      </c>
      <c r="CK6" s="33">
        <f t="shared" ref="CK6:CL6" si="2">SUM(CK7:CK16)</f>
        <v>1296.7532590000001</v>
      </c>
      <c r="CL6" s="33">
        <f t="shared" si="2"/>
        <v>1097.5724429999998</v>
      </c>
      <c r="CM6" s="33">
        <f t="shared" ref="CM6:CN6" si="3">SUM(CM7:CM16)</f>
        <v>1319.9797149999999</v>
      </c>
      <c r="CN6" s="33">
        <f t="shared" si="3"/>
        <v>1113.672908</v>
      </c>
      <c r="CO6" s="33">
        <f t="shared" ref="CO6:CP6" si="4">SUM(CO7:CO16)</f>
        <v>1077.5407089999999</v>
      </c>
      <c r="CP6" s="33">
        <f t="shared" si="4"/>
        <v>951.91335099999981</v>
      </c>
      <c r="CQ6" s="33">
        <f t="shared" ref="CQ6:DE6" si="5">SUM(CQ7:CQ16)</f>
        <v>1177.4398390000001</v>
      </c>
      <c r="CR6" s="33">
        <f t="shared" si="5"/>
        <v>1155.193098</v>
      </c>
      <c r="CS6" s="34">
        <f t="shared" si="5"/>
        <v>904.56077800000003</v>
      </c>
      <c r="CT6" s="32">
        <f t="shared" si="5"/>
        <v>882.39171999999996</v>
      </c>
      <c r="CU6" s="33">
        <f t="shared" si="5"/>
        <v>891.63431000000014</v>
      </c>
      <c r="CV6" s="33">
        <f t="shared" si="5"/>
        <v>484.48513300000002</v>
      </c>
      <c r="CW6" s="33">
        <f t="shared" si="5"/>
        <v>629.888464</v>
      </c>
      <c r="CX6" s="33">
        <f t="shared" si="5"/>
        <v>665.60564299999999</v>
      </c>
      <c r="CY6" s="33">
        <f t="shared" si="5"/>
        <v>1027.5378440000002</v>
      </c>
      <c r="CZ6" s="33">
        <f t="shared" si="5"/>
        <v>740.09502999999984</v>
      </c>
      <c r="DA6" s="33">
        <f t="shared" si="5"/>
        <v>1047.7246180000002</v>
      </c>
      <c r="DB6" s="33">
        <f t="shared" si="5"/>
        <v>836.65829299999996</v>
      </c>
      <c r="DC6" s="33">
        <f t="shared" si="5"/>
        <v>981.90528699999982</v>
      </c>
      <c r="DD6" s="33">
        <f t="shared" si="5"/>
        <v>944.39751100000001</v>
      </c>
      <c r="DE6" s="34">
        <f t="shared" si="5"/>
        <v>874.91438100000005</v>
      </c>
      <c r="DF6" s="32">
        <v>855.36894500000005</v>
      </c>
      <c r="DG6" s="33">
        <v>858.06824200000005</v>
      </c>
      <c r="DH6" s="33">
        <v>856.02801899999997</v>
      </c>
      <c r="DI6" s="33">
        <v>991.03487299999995</v>
      </c>
      <c r="DJ6" s="33">
        <v>1016.766455</v>
      </c>
      <c r="DK6" s="33">
        <v>660.68748300000004</v>
      </c>
      <c r="DL6" s="33">
        <v>795.19036600000004</v>
      </c>
      <c r="DM6" s="33">
        <v>765.02809300000001</v>
      </c>
      <c r="DN6" s="33">
        <v>826.050116</v>
      </c>
      <c r="DO6" s="33">
        <v>618.67560400000002</v>
      </c>
      <c r="DP6" s="33">
        <v>724.13946799999997</v>
      </c>
      <c r="DQ6" s="34">
        <v>786.78442900000005</v>
      </c>
      <c r="DR6" s="32">
        <v>712.58081500000003</v>
      </c>
      <c r="DS6" s="36">
        <v>664.15584699999999</v>
      </c>
      <c r="DT6" s="36">
        <v>759.98391700000002</v>
      </c>
      <c r="DU6" s="36">
        <v>771.170253</v>
      </c>
      <c r="DV6" s="36">
        <v>775.64043600000002</v>
      </c>
      <c r="DW6" s="36">
        <v>581.37639899999988</v>
      </c>
      <c r="DX6" s="36">
        <v>624.98594100000003</v>
      </c>
      <c r="DY6" s="36">
        <v>597.11314899999979</v>
      </c>
      <c r="DZ6" s="36">
        <v>670.65616599999998</v>
      </c>
      <c r="EA6" s="34">
        <v>600.20736899999997</v>
      </c>
      <c r="EC6" s="22"/>
    </row>
    <row r="7" spans="1:133" ht="15" x14ac:dyDescent="0.2">
      <c r="A7" s="8" t="s">
        <v>2</v>
      </c>
      <c r="B7" s="35">
        <v>45.756318999999998</v>
      </c>
      <c r="C7" s="36">
        <v>43.400447999999997</v>
      </c>
      <c r="D7" s="36">
        <v>49.481332999999999</v>
      </c>
      <c r="E7" s="36">
        <v>51.214317000000001</v>
      </c>
      <c r="F7" s="36">
        <v>48.596066999999998</v>
      </c>
      <c r="G7" s="36">
        <v>61.459791000000003</v>
      </c>
      <c r="H7" s="36">
        <v>46.521963</v>
      </c>
      <c r="I7" s="36">
        <v>49.012424000000003</v>
      </c>
      <c r="J7" s="36">
        <v>51.196862000000003</v>
      </c>
      <c r="K7" s="36">
        <v>61.602941999999999</v>
      </c>
      <c r="L7" s="36">
        <v>49.579203999999997</v>
      </c>
      <c r="M7" s="37">
        <v>52.484029</v>
      </c>
      <c r="N7" s="35">
        <v>59.694958</v>
      </c>
      <c r="O7" s="36">
        <v>38.288462000000003</v>
      </c>
      <c r="P7" s="36">
        <v>58.045870000000001</v>
      </c>
      <c r="Q7" s="36">
        <v>49.472465</v>
      </c>
      <c r="R7" s="36">
        <v>55.048152999999999</v>
      </c>
      <c r="S7" s="36">
        <v>53.791944999999998</v>
      </c>
      <c r="T7" s="36">
        <v>40.136932999999999</v>
      </c>
      <c r="U7" s="36">
        <v>45.747490999999997</v>
      </c>
      <c r="V7" s="36">
        <v>50.139603000000001</v>
      </c>
      <c r="W7" s="36">
        <v>49.978271999999997</v>
      </c>
      <c r="X7" s="36">
        <v>48.218547999999998</v>
      </c>
      <c r="Y7" s="37">
        <v>50.890881999999998</v>
      </c>
      <c r="Z7" s="35">
        <v>54.761828000000001</v>
      </c>
      <c r="AA7" s="36">
        <v>42.778503000000001</v>
      </c>
      <c r="AB7" s="36">
        <v>49.540056</v>
      </c>
      <c r="AC7" s="36">
        <v>50.470502000000003</v>
      </c>
      <c r="AD7" s="36">
        <v>56.583447</v>
      </c>
      <c r="AE7" s="36">
        <v>40.566454</v>
      </c>
      <c r="AF7" s="36">
        <v>47.869408999999997</v>
      </c>
      <c r="AG7" s="36">
        <v>45.530591999999999</v>
      </c>
      <c r="AH7" s="36">
        <v>44.724744999999999</v>
      </c>
      <c r="AI7" s="36">
        <v>44.249183000000002</v>
      </c>
      <c r="AJ7" s="36">
        <v>43.367460999999999</v>
      </c>
      <c r="AK7" s="37">
        <v>44.649689000000002</v>
      </c>
      <c r="AL7" s="35">
        <v>48.530934999999999</v>
      </c>
      <c r="AM7" s="36">
        <v>43.948419999999999</v>
      </c>
      <c r="AN7" s="36">
        <v>61.100828999999997</v>
      </c>
      <c r="AO7" s="36">
        <v>50.343780000000002</v>
      </c>
      <c r="AP7" s="36">
        <v>56.708934999999997</v>
      </c>
      <c r="AQ7" s="36">
        <v>55.731574000000002</v>
      </c>
      <c r="AR7" s="36">
        <v>46.856110999999999</v>
      </c>
      <c r="AS7" s="36">
        <v>55.156855999999998</v>
      </c>
      <c r="AT7" s="36">
        <v>44.347974000000001</v>
      </c>
      <c r="AU7" s="36">
        <v>50.541868000000001</v>
      </c>
      <c r="AV7" s="36">
        <v>50.147613</v>
      </c>
      <c r="AW7" s="37">
        <v>48.623638</v>
      </c>
      <c r="AX7" s="35">
        <v>52.221645000000002</v>
      </c>
      <c r="AY7" s="36">
        <v>40.699371999999997</v>
      </c>
      <c r="AZ7" s="36">
        <v>58.990616000000003</v>
      </c>
      <c r="BA7" s="36">
        <v>69.186075000000002</v>
      </c>
      <c r="BB7" s="36">
        <v>58.30789</v>
      </c>
      <c r="BC7" s="36">
        <v>46.335756000000003</v>
      </c>
      <c r="BD7" s="36">
        <v>54.570846000000003</v>
      </c>
      <c r="BE7" s="36">
        <v>52.617575000000002</v>
      </c>
      <c r="BF7" s="36">
        <v>44.541753</v>
      </c>
      <c r="BG7" s="36">
        <v>48.608376</v>
      </c>
      <c r="BH7" s="36">
        <v>49.258401999999997</v>
      </c>
      <c r="BI7" s="37">
        <v>41.553730999999999</v>
      </c>
      <c r="BJ7" s="35">
        <v>47.334837</v>
      </c>
      <c r="BK7" s="36">
        <v>37.191661000000003</v>
      </c>
      <c r="BL7" s="36">
        <v>45.184866999999997</v>
      </c>
      <c r="BM7" s="36">
        <f>45319172/1000000</f>
        <v>45.319172000000002</v>
      </c>
      <c r="BN7" s="36">
        <f>54952195/1000000</f>
        <v>54.952195000000003</v>
      </c>
      <c r="BO7" s="36">
        <f>50816135/1000000</f>
        <v>50.816135000000003</v>
      </c>
      <c r="BP7" s="36">
        <f>70404150/1000000</f>
        <v>70.404150000000001</v>
      </c>
      <c r="BQ7" s="36">
        <f>68378461/1000000</f>
        <v>68.378461000000001</v>
      </c>
      <c r="BR7" s="36">
        <f>63681731/1000000</f>
        <v>63.681730999999999</v>
      </c>
      <c r="BS7" s="36">
        <f>70205058/1000000</f>
        <v>70.205057999999994</v>
      </c>
      <c r="BT7" s="36">
        <f>67089734/1000000</f>
        <v>67.089734000000007</v>
      </c>
      <c r="BU7" s="37">
        <f>87235515/1000000</f>
        <v>87.235515000000007</v>
      </c>
      <c r="BV7" s="35">
        <f>64025494/1000000</f>
        <v>64.025493999999995</v>
      </c>
      <c r="BW7" s="36">
        <f>61903226/1000000</f>
        <v>61.903225999999997</v>
      </c>
      <c r="BX7" s="36">
        <f>65538616/1000000</f>
        <v>65.538616000000005</v>
      </c>
      <c r="BY7" s="36">
        <f>72656569/1000000</f>
        <v>72.656569000000005</v>
      </c>
      <c r="BZ7" s="36">
        <f>69383385/1000000</f>
        <v>69.383385000000004</v>
      </c>
      <c r="CA7" s="36">
        <f>56713024/1000000</f>
        <v>56.713023999999997</v>
      </c>
      <c r="CB7" s="36">
        <f>60672792/1000000</f>
        <v>60.672792000000001</v>
      </c>
      <c r="CC7" s="36">
        <f>50410857/1000000</f>
        <v>50.410857</v>
      </c>
      <c r="CD7" s="36">
        <f>53752210/1000000</f>
        <v>53.752209999999998</v>
      </c>
      <c r="CE7" s="36">
        <f>55675794/1000000</f>
        <v>55.675794000000003</v>
      </c>
      <c r="CF7" s="36">
        <f>62927226/1000000</f>
        <v>62.927225999999997</v>
      </c>
      <c r="CG7" s="37">
        <f>59727357/1000000</f>
        <v>59.727356999999998</v>
      </c>
      <c r="CH7" s="35">
        <v>63.106133</v>
      </c>
      <c r="CI7" s="36">
        <f>52417696/1000000</f>
        <v>52.417695999999999</v>
      </c>
      <c r="CJ7" s="36">
        <v>66.890844000000001</v>
      </c>
      <c r="CK7" s="36">
        <v>74.533293999999998</v>
      </c>
      <c r="CL7" s="36">
        <v>62.371040999999998</v>
      </c>
      <c r="CM7" s="36">
        <v>74.952641</v>
      </c>
      <c r="CN7" s="36">
        <v>55.251181000000003</v>
      </c>
      <c r="CO7" s="36">
        <v>72.955630999999997</v>
      </c>
      <c r="CP7" s="36">
        <v>67.605694999999997</v>
      </c>
      <c r="CQ7" s="36">
        <v>69.339865000000003</v>
      </c>
      <c r="CR7" s="36">
        <v>70.776613999999995</v>
      </c>
      <c r="CS7" s="37">
        <v>62.710127999999997</v>
      </c>
      <c r="CT7" s="35">
        <v>79.368054000000001</v>
      </c>
      <c r="CU7" s="36">
        <v>56.391221000000002</v>
      </c>
      <c r="CV7" s="36">
        <v>63.244211999999997</v>
      </c>
      <c r="CW7" s="36">
        <v>66.079368000000002</v>
      </c>
      <c r="CX7" s="36">
        <v>54.922606000000002</v>
      </c>
      <c r="CY7" s="36">
        <v>67.660920000000004</v>
      </c>
      <c r="CZ7" s="36">
        <v>58.901611000000003</v>
      </c>
      <c r="DA7" s="36">
        <v>59.80377</v>
      </c>
      <c r="DB7" s="36">
        <v>56.524557999999999</v>
      </c>
      <c r="DC7" s="36">
        <v>59.272294000000002</v>
      </c>
      <c r="DD7" s="36">
        <v>57.448134000000003</v>
      </c>
      <c r="DE7" s="37">
        <v>55.512450999999999</v>
      </c>
      <c r="DF7" s="35">
        <v>69.301193999999995</v>
      </c>
      <c r="DG7" s="36">
        <v>42.670298000000003</v>
      </c>
      <c r="DH7" s="36">
        <v>68.383018000000007</v>
      </c>
      <c r="DI7" s="36">
        <v>59.646704999999997</v>
      </c>
      <c r="DJ7" s="36">
        <v>64.100892999999999</v>
      </c>
      <c r="DK7" s="36">
        <v>57.049748999999998</v>
      </c>
      <c r="DL7" s="41">
        <v>89.658513999999997</v>
      </c>
      <c r="DM7" s="41">
        <v>63.268993000000002</v>
      </c>
      <c r="DN7" s="36">
        <v>62.259982000000001</v>
      </c>
      <c r="DO7" s="36">
        <v>59.429895000000002</v>
      </c>
      <c r="DP7" s="36">
        <v>70.225769999999997</v>
      </c>
      <c r="DQ7" s="37">
        <v>69.328883000000005</v>
      </c>
      <c r="DR7" s="35">
        <v>67.525739999999999</v>
      </c>
      <c r="DS7" s="36">
        <v>51.212339</v>
      </c>
      <c r="DT7" s="36">
        <v>64.028391999999997</v>
      </c>
      <c r="DU7" s="36">
        <v>65.315448000000004</v>
      </c>
      <c r="DV7" s="36">
        <v>61.840536999999998</v>
      </c>
      <c r="DW7" s="48" t="s">
        <v>51</v>
      </c>
      <c r="DX7" s="48" t="s">
        <v>51</v>
      </c>
      <c r="DY7" s="48">
        <v>60.140225999999998</v>
      </c>
      <c r="DZ7" s="48">
        <v>54.307682</v>
      </c>
      <c r="EA7" s="37">
        <v>61.705672999999997</v>
      </c>
    </row>
    <row r="8" spans="1:133" ht="15" x14ac:dyDescent="0.2">
      <c r="A8" s="8" t="s">
        <v>3</v>
      </c>
      <c r="B8" s="35">
        <v>4.3720249999999998</v>
      </c>
      <c r="C8" s="36">
        <v>4.4524549999999996</v>
      </c>
      <c r="D8" s="36">
        <v>5.6169900000000004</v>
      </c>
      <c r="E8" s="36">
        <v>5.4187240000000001</v>
      </c>
      <c r="F8" s="36">
        <v>6.5720070000000002</v>
      </c>
      <c r="G8" s="36">
        <v>8.3205229999999997</v>
      </c>
      <c r="H8" s="36">
        <v>5.6805570000000003</v>
      </c>
      <c r="I8" s="36">
        <v>7.2113050000000003</v>
      </c>
      <c r="J8" s="36">
        <v>5.0516909999999999</v>
      </c>
      <c r="K8" s="36">
        <v>4.9163119999999996</v>
      </c>
      <c r="L8" s="36">
        <v>4.9598469999999999</v>
      </c>
      <c r="M8" s="37">
        <v>6.1434519999999999</v>
      </c>
      <c r="N8" s="35">
        <v>6.003819</v>
      </c>
      <c r="O8" s="36">
        <v>5.4205990000000002</v>
      </c>
      <c r="P8" s="36">
        <v>5.8506489999999998</v>
      </c>
      <c r="Q8" s="36">
        <v>5.4222650000000003</v>
      </c>
      <c r="R8" s="36">
        <v>8.5634549999999994</v>
      </c>
      <c r="S8" s="36">
        <v>9.8143119999999993</v>
      </c>
      <c r="T8" s="36">
        <v>6.4690940000000001</v>
      </c>
      <c r="U8" s="36">
        <v>4.502605</v>
      </c>
      <c r="V8" s="36">
        <v>3.9132470000000001</v>
      </c>
      <c r="W8" s="36">
        <v>4.4305339999999998</v>
      </c>
      <c r="X8" s="36">
        <v>4.7460360000000001</v>
      </c>
      <c r="Y8" s="37">
        <v>3.7582279999999999</v>
      </c>
      <c r="Z8" s="35">
        <v>5.5244770000000001</v>
      </c>
      <c r="AA8" s="36">
        <v>4.4286630000000002</v>
      </c>
      <c r="AB8" s="36">
        <v>8.3101330000000004</v>
      </c>
      <c r="AC8" s="36">
        <v>2.8764530000000001</v>
      </c>
      <c r="AD8" s="36">
        <v>4.2071139999999998</v>
      </c>
      <c r="AE8" s="36">
        <v>4.9989670000000004</v>
      </c>
      <c r="AF8" s="36">
        <v>2.7376610000000001</v>
      </c>
      <c r="AG8" s="36">
        <v>3.0868310000000001</v>
      </c>
      <c r="AH8" s="36">
        <v>2.874396</v>
      </c>
      <c r="AI8" s="36">
        <v>3.2894040000000002</v>
      </c>
      <c r="AJ8" s="36">
        <v>3.7837939999999999</v>
      </c>
      <c r="AK8" s="37">
        <v>3.4355739999999999</v>
      </c>
      <c r="AL8" s="35">
        <v>2.9797699999999998</v>
      </c>
      <c r="AM8" s="36">
        <v>3.2300019999999998</v>
      </c>
      <c r="AN8" s="36">
        <v>4.4272710000000002</v>
      </c>
      <c r="AO8" s="36">
        <v>4.3243119999999999</v>
      </c>
      <c r="AP8" s="36">
        <v>4.1628270000000001</v>
      </c>
      <c r="AQ8" s="36">
        <v>4.4781680000000001</v>
      </c>
      <c r="AR8" s="36">
        <v>5.0542299999999996</v>
      </c>
      <c r="AS8" s="36">
        <v>5.1485450000000004</v>
      </c>
      <c r="AT8" s="36">
        <v>3.2857069999999999</v>
      </c>
      <c r="AU8" s="36">
        <v>4.8762400000000001</v>
      </c>
      <c r="AV8" s="36">
        <v>3.987606</v>
      </c>
      <c r="AW8" s="37">
        <v>3.9790939999999999</v>
      </c>
      <c r="AX8" s="35">
        <v>4.435778</v>
      </c>
      <c r="AY8" s="36">
        <v>3.7753580000000002</v>
      </c>
      <c r="AZ8" s="36">
        <v>5.0015580000000002</v>
      </c>
      <c r="BA8" s="36">
        <v>5.8067780000000004</v>
      </c>
      <c r="BB8" s="36">
        <v>7.1735129999999998</v>
      </c>
      <c r="BC8" s="36">
        <v>4.7685050000000002</v>
      </c>
      <c r="BD8" s="36">
        <v>4.3160220000000002</v>
      </c>
      <c r="BE8" s="36">
        <v>4.7255149999999997</v>
      </c>
      <c r="BF8" s="36">
        <v>4.2075279999999999</v>
      </c>
      <c r="BG8" s="36">
        <v>4.4658910000000001</v>
      </c>
      <c r="BH8" s="36">
        <v>4.0169839999999999</v>
      </c>
      <c r="BI8" s="37">
        <v>4.1699909999999996</v>
      </c>
      <c r="BJ8" s="35">
        <v>4.2159259999999996</v>
      </c>
      <c r="BK8" s="36">
        <v>3.8014779999999999</v>
      </c>
      <c r="BL8" s="36">
        <v>4.2768629999999996</v>
      </c>
      <c r="BM8" s="36">
        <f>5491820/1000000</f>
        <v>5.4918199999999997</v>
      </c>
      <c r="BN8" s="36">
        <f>6213791/1000000</f>
        <v>6.2137909999999996</v>
      </c>
      <c r="BO8" s="36">
        <f>4240057/1000000</f>
        <v>4.2400570000000002</v>
      </c>
      <c r="BP8" s="36">
        <f>4703265/1000000</f>
        <v>4.703265</v>
      </c>
      <c r="BQ8" s="36">
        <f>4822505/1000000</f>
        <v>4.8225049999999996</v>
      </c>
      <c r="BR8" s="36">
        <f>5072967/1000000</f>
        <v>5.0729670000000002</v>
      </c>
      <c r="BS8" s="36">
        <f>5596496/1000000</f>
        <v>5.5964960000000001</v>
      </c>
      <c r="BT8" s="36">
        <f>4610511/1000000</f>
        <v>4.6105109999999998</v>
      </c>
      <c r="BU8" s="37">
        <f>6338424/1000000</f>
        <v>6.3384239999999998</v>
      </c>
      <c r="BV8" s="35">
        <f>6635118/1000000</f>
        <v>6.6351180000000003</v>
      </c>
      <c r="BW8" s="36">
        <f>5982482/1000000</f>
        <v>5.9824820000000001</v>
      </c>
      <c r="BX8" s="36">
        <f>6285926/1000000</f>
        <v>6.2859259999999999</v>
      </c>
      <c r="BY8" s="36">
        <f>7410142/1000000</f>
        <v>7.4101419999999996</v>
      </c>
      <c r="BZ8" s="36">
        <f>6568856/1000000</f>
        <v>6.5688560000000003</v>
      </c>
      <c r="CA8" s="36">
        <f>5294161/1000000</f>
        <v>5.2941609999999999</v>
      </c>
      <c r="CB8" s="36">
        <f>4895702/1000000</f>
        <v>4.895702</v>
      </c>
      <c r="CC8" s="36">
        <f>4418774/1000000</f>
        <v>4.418774</v>
      </c>
      <c r="CD8" s="36">
        <f>5387016/1000000</f>
        <v>5.387016</v>
      </c>
      <c r="CE8" s="36">
        <f>4826840/1000000</f>
        <v>4.8268399999999998</v>
      </c>
      <c r="CF8" s="36">
        <f>4088862/1000000</f>
        <v>4.0888619999999998</v>
      </c>
      <c r="CG8" s="37">
        <f>4474324/1000000</f>
        <v>4.4743240000000002</v>
      </c>
      <c r="CH8" s="35">
        <v>4.0920730000000001</v>
      </c>
      <c r="CI8" s="36">
        <f>6336041/1000000</f>
        <v>6.3360409999999998</v>
      </c>
      <c r="CJ8" s="36">
        <v>7.9930500000000002</v>
      </c>
      <c r="CK8" s="36">
        <v>6.8846999999999996</v>
      </c>
      <c r="CL8" s="36">
        <v>4.4548459999999999</v>
      </c>
      <c r="CM8" s="36">
        <v>4.7425810000000004</v>
      </c>
      <c r="CN8" s="36">
        <v>4.2380060000000004</v>
      </c>
      <c r="CO8" s="36">
        <v>5.1146130000000003</v>
      </c>
      <c r="CP8" s="36">
        <v>4.6050680000000002</v>
      </c>
      <c r="CQ8" s="36">
        <v>6.3401399999999999</v>
      </c>
      <c r="CR8" s="36">
        <v>5.0004730000000004</v>
      </c>
      <c r="CS8" s="37">
        <v>4.9074090000000004</v>
      </c>
      <c r="CT8" s="35">
        <v>4.7781989999999999</v>
      </c>
      <c r="CU8" s="36">
        <v>7.2322439999999997</v>
      </c>
      <c r="CV8" s="36">
        <v>7.8387830000000003</v>
      </c>
      <c r="CW8" s="36">
        <v>6.8543070000000004</v>
      </c>
      <c r="CX8" s="36">
        <v>4.277577</v>
      </c>
      <c r="CY8" s="36">
        <v>4.4469099999999999</v>
      </c>
      <c r="CZ8" s="36">
        <v>5.4448449999999999</v>
      </c>
      <c r="DA8" s="36">
        <v>4.101972</v>
      </c>
      <c r="DB8" s="36">
        <v>3.6101570000000001</v>
      </c>
      <c r="DC8" s="36">
        <v>4.1069490000000002</v>
      </c>
      <c r="DD8" s="36">
        <v>4.6315780000000002</v>
      </c>
      <c r="DE8" s="37">
        <v>3.9557180000000001</v>
      </c>
      <c r="DF8" s="35">
        <v>4.0974029999999999</v>
      </c>
      <c r="DG8" s="36">
        <v>4.0808739999999997</v>
      </c>
      <c r="DH8" s="36">
        <v>7.1005789999999998</v>
      </c>
      <c r="DI8" s="36">
        <v>4.6534300000000002</v>
      </c>
      <c r="DJ8" s="36">
        <v>2.9204509999999999</v>
      </c>
      <c r="DK8" s="36">
        <v>3.3720780000000001</v>
      </c>
      <c r="DL8" s="41">
        <v>2.4022329999999998</v>
      </c>
      <c r="DM8" s="41">
        <v>4.4450339999999997</v>
      </c>
      <c r="DN8" s="36">
        <v>4.14384</v>
      </c>
      <c r="DO8" s="36">
        <v>3.6908300000000001</v>
      </c>
      <c r="DP8" s="36">
        <v>3.5649039999999999</v>
      </c>
      <c r="DQ8" s="37">
        <v>4.4330800000000004</v>
      </c>
      <c r="DR8" s="35">
        <v>3.950758</v>
      </c>
      <c r="DS8" s="36">
        <v>3.9085719999999999</v>
      </c>
      <c r="DT8" s="36">
        <v>5.727868</v>
      </c>
      <c r="DU8" s="36">
        <v>4.2589290000000002</v>
      </c>
      <c r="DV8" s="36">
        <v>3.101324</v>
      </c>
      <c r="DW8" s="48" t="s">
        <v>51</v>
      </c>
      <c r="DX8" s="48" t="s">
        <v>51</v>
      </c>
      <c r="DY8" s="48">
        <v>3.5494460000000001</v>
      </c>
      <c r="DZ8" s="48">
        <v>3.195948</v>
      </c>
      <c r="EA8" s="37">
        <v>4.25509</v>
      </c>
    </row>
    <row r="9" spans="1:133" ht="15" x14ac:dyDescent="0.2">
      <c r="A9" s="8" t="s">
        <v>4</v>
      </c>
      <c r="B9" s="35">
        <v>3.8284449999999999</v>
      </c>
      <c r="C9" s="36">
        <v>2.2669440000000001</v>
      </c>
      <c r="D9" s="36">
        <v>4.2313510000000001</v>
      </c>
      <c r="E9" s="36">
        <v>4.0057289999999997</v>
      </c>
      <c r="F9" s="36">
        <v>3.760122</v>
      </c>
      <c r="G9" s="36">
        <v>5.1420450000000004</v>
      </c>
      <c r="H9" s="36">
        <v>4.7144830000000004</v>
      </c>
      <c r="I9" s="36">
        <v>4.6831820000000004</v>
      </c>
      <c r="J9" s="36">
        <v>5.1389870000000002</v>
      </c>
      <c r="K9" s="36">
        <v>4.7881390000000001</v>
      </c>
      <c r="L9" s="36">
        <v>6.080559</v>
      </c>
      <c r="M9" s="37">
        <v>6.8347730000000002</v>
      </c>
      <c r="N9" s="35">
        <v>4.73306</v>
      </c>
      <c r="O9" s="36">
        <v>4.3124229999999999</v>
      </c>
      <c r="P9" s="36">
        <v>4.2585940000000004</v>
      </c>
      <c r="Q9" s="36">
        <v>4.2803610000000001</v>
      </c>
      <c r="R9" s="36">
        <v>4.9207879999999999</v>
      </c>
      <c r="S9" s="36">
        <v>4.0266539999999997</v>
      </c>
      <c r="T9" s="36">
        <v>2.6947239999999999</v>
      </c>
      <c r="U9" s="36">
        <v>2.8699690000000002</v>
      </c>
      <c r="V9" s="36">
        <v>4.0838700000000001</v>
      </c>
      <c r="W9" s="36">
        <v>3.390844</v>
      </c>
      <c r="X9" s="36">
        <v>3.7200950000000002</v>
      </c>
      <c r="Y9" s="37">
        <v>3.6888839999999998</v>
      </c>
      <c r="Z9" s="35">
        <v>3.3284229999999999</v>
      </c>
      <c r="AA9" s="36">
        <v>2.6739609999999998</v>
      </c>
      <c r="AB9" s="36">
        <v>3.5325169999999999</v>
      </c>
      <c r="AC9" s="36">
        <v>16.832459</v>
      </c>
      <c r="AD9" s="36">
        <v>5.7893400000000002</v>
      </c>
      <c r="AE9" s="36">
        <v>4.0187160000000004</v>
      </c>
      <c r="AF9" s="36">
        <v>4.16777</v>
      </c>
      <c r="AG9" s="36">
        <v>3.8954900000000001</v>
      </c>
      <c r="AH9" s="36">
        <v>3.8287629999999999</v>
      </c>
      <c r="AI9" s="36">
        <v>6.3167499999999999</v>
      </c>
      <c r="AJ9" s="36">
        <v>4.6477539999999999</v>
      </c>
      <c r="AK9" s="37">
        <v>3.9992190000000001</v>
      </c>
      <c r="AL9" s="35">
        <v>6.7168469999999996</v>
      </c>
      <c r="AM9" s="36">
        <v>4.1636699999999998</v>
      </c>
      <c r="AN9" s="36">
        <v>3.5097369999999999</v>
      </c>
      <c r="AO9" s="36">
        <v>6.4726910000000002</v>
      </c>
      <c r="AP9" s="36">
        <v>5.1696119999999999</v>
      </c>
      <c r="AQ9" s="36">
        <v>4.5599360000000004</v>
      </c>
      <c r="AR9" s="36">
        <v>4.2793029999999996</v>
      </c>
      <c r="AS9" s="36">
        <v>3.1281639999999999</v>
      </c>
      <c r="AT9" s="36">
        <v>3.5190480000000002</v>
      </c>
      <c r="AU9" s="36">
        <v>3.0411860000000002</v>
      </c>
      <c r="AV9" s="36">
        <v>3.9545240000000002</v>
      </c>
      <c r="AW9" s="37">
        <v>3.9030610000000001</v>
      </c>
      <c r="AX9" s="35">
        <v>2.6404640000000001</v>
      </c>
      <c r="AY9" s="36">
        <v>1.2290719999999999</v>
      </c>
      <c r="AZ9" s="36">
        <v>2.276103</v>
      </c>
      <c r="BA9" s="36">
        <v>3.1932260000000001</v>
      </c>
      <c r="BB9" s="36">
        <v>4.1681419999999996</v>
      </c>
      <c r="BC9" s="36">
        <v>2.232755</v>
      </c>
      <c r="BD9" s="36">
        <v>2.6935709999999999</v>
      </c>
      <c r="BE9" s="36">
        <v>3.1334330000000001</v>
      </c>
      <c r="BF9" s="36">
        <v>2.823102</v>
      </c>
      <c r="BG9" s="36">
        <v>3.5818979999999998</v>
      </c>
      <c r="BH9" s="36">
        <v>2.177991</v>
      </c>
      <c r="BI9" s="37">
        <v>1.8364450000000001</v>
      </c>
      <c r="BJ9" s="35">
        <v>2.7785600000000001</v>
      </c>
      <c r="BK9" s="36">
        <v>1.4831369999999999</v>
      </c>
      <c r="BL9" s="36">
        <v>1.4105289999999999</v>
      </c>
      <c r="BM9" s="36">
        <f>1166823/1000000</f>
        <v>1.1668229999999999</v>
      </c>
      <c r="BN9" s="36">
        <f>3069201/1000000</f>
        <v>3.0692010000000001</v>
      </c>
      <c r="BO9" s="36">
        <f>2432308/1000000</f>
        <v>2.4323079999999999</v>
      </c>
      <c r="BP9" s="36">
        <f>2670263/1000000</f>
        <v>2.6702629999999998</v>
      </c>
      <c r="BQ9" s="36">
        <f>2579970/1000000</f>
        <v>2.5799699999999999</v>
      </c>
      <c r="BR9" s="36">
        <f>1149190/1000000</f>
        <v>1.1491899999999999</v>
      </c>
      <c r="BS9" s="36">
        <f>1498753/1000000</f>
        <v>1.498753</v>
      </c>
      <c r="BT9" s="36">
        <f>1456329/1000000</f>
        <v>1.456329</v>
      </c>
      <c r="BU9" s="37">
        <f>1784865/1000000</f>
        <v>1.7848649999999999</v>
      </c>
      <c r="BV9" s="35">
        <f>1416533/1000000</f>
        <v>1.416533</v>
      </c>
      <c r="BW9" s="36">
        <f>1784068/1000000</f>
        <v>1.784068</v>
      </c>
      <c r="BX9" s="36">
        <f>2320659/1000000</f>
        <v>2.320659</v>
      </c>
      <c r="BY9" s="36">
        <f>5204505/1000000</f>
        <v>5.2045050000000002</v>
      </c>
      <c r="BZ9" s="36">
        <f>49406847/1000000</f>
        <v>49.406846999999999</v>
      </c>
      <c r="CA9" s="36">
        <f>1923105/1000000</f>
        <v>1.9231050000000001</v>
      </c>
      <c r="CB9" s="36">
        <f>4826499/1000000</f>
        <v>4.8264990000000001</v>
      </c>
      <c r="CC9" s="36">
        <f>1703795/1000000</f>
        <v>1.7037949999999999</v>
      </c>
      <c r="CD9" s="36">
        <f>1912146/1000000</f>
        <v>1.9121459999999999</v>
      </c>
      <c r="CE9" s="36">
        <f>4814581/1000000</f>
        <v>4.8145810000000004</v>
      </c>
      <c r="CF9" s="36">
        <f>4757657/1000000</f>
        <v>4.757657</v>
      </c>
      <c r="CG9" s="37">
        <f>3057812/1000000</f>
        <v>3.0578120000000002</v>
      </c>
      <c r="CH9" s="35">
        <v>5.0933770000000003</v>
      </c>
      <c r="CI9" s="36">
        <v>2.7907320000000002</v>
      </c>
      <c r="CJ9" s="36">
        <v>2.9683410000000001</v>
      </c>
      <c r="CK9" s="36">
        <v>5.7224130000000004</v>
      </c>
      <c r="CL9" s="36">
        <v>66.237302999999997</v>
      </c>
      <c r="CM9" s="36">
        <v>2.249037</v>
      </c>
      <c r="CN9" s="36">
        <v>5.2995549999999998</v>
      </c>
      <c r="CO9" s="36">
        <v>2.6403370000000002</v>
      </c>
      <c r="CP9" s="36">
        <v>1.6156699999999999</v>
      </c>
      <c r="CQ9" s="36">
        <v>4.0650219999999999</v>
      </c>
      <c r="CR9" s="36">
        <v>4.8756209999999998</v>
      </c>
      <c r="CS9" s="37">
        <v>2.6381220000000001</v>
      </c>
      <c r="CT9" s="35">
        <v>1.967735</v>
      </c>
      <c r="CU9" s="36">
        <v>1.657726</v>
      </c>
      <c r="CV9" s="36">
        <v>2.1412460000000002</v>
      </c>
      <c r="CW9" s="36">
        <v>4.8986020000000003</v>
      </c>
      <c r="CX9" s="36">
        <v>2.4061059999999999</v>
      </c>
      <c r="CY9" s="36">
        <v>2.3033589999999999</v>
      </c>
      <c r="CZ9" s="36">
        <v>2.2542360000000001</v>
      </c>
      <c r="DA9" s="36">
        <v>1.740953</v>
      </c>
      <c r="DB9" s="36">
        <v>4.6794880000000001</v>
      </c>
      <c r="DC9" s="36">
        <v>3.3645930000000002</v>
      </c>
      <c r="DD9" s="36">
        <v>2.1968399999999999</v>
      </c>
      <c r="DE9" s="37">
        <v>2.5196999999999998</v>
      </c>
      <c r="DF9" s="35">
        <v>2.2348629999999998</v>
      </c>
      <c r="DG9" s="36">
        <v>2.0462340000000001</v>
      </c>
      <c r="DH9" s="36">
        <v>6.1311799999999996</v>
      </c>
      <c r="DI9" s="36">
        <v>2.2448100000000002</v>
      </c>
      <c r="DJ9" s="36">
        <v>1.770613</v>
      </c>
      <c r="DK9" s="36">
        <v>1.2957989999999999</v>
      </c>
      <c r="DL9" s="41">
        <v>5.9559660000000001</v>
      </c>
      <c r="DM9" s="41">
        <v>1.6196440000000001</v>
      </c>
      <c r="DN9" s="36">
        <v>3.789758</v>
      </c>
      <c r="DO9" s="36">
        <v>1.9332750000000001</v>
      </c>
      <c r="DP9" s="36">
        <v>1.741325</v>
      </c>
      <c r="DQ9" s="37">
        <v>2.802753</v>
      </c>
      <c r="DR9" s="35">
        <v>3.8360850000000002</v>
      </c>
      <c r="DS9" s="36">
        <v>1.235635</v>
      </c>
      <c r="DT9" s="36">
        <v>2.629248</v>
      </c>
      <c r="DU9" s="36">
        <v>2.6420439999999998</v>
      </c>
      <c r="DV9" s="36">
        <v>1.3611759999999999</v>
      </c>
      <c r="DW9" s="48" t="s">
        <v>51</v>
      </c>
      <c r="DX9" s="48" t="s">
        <v>51</v>
      </c>
      <c r="DY9" s="48">
        <v>5.2942390000000001</v>
      </c>
      <c r="DZ9" s="48">
        <v>1.1813990000000001</v>
      </c>
      <c r="EA9" s="37">
        <v>3.1797240000000002</v>
      </c>
    </row>
    <row r="10" spans="1:133" ht="15" x14ac:dyDescent="0.2">
      <c r="A10" s="8" t="s">
        <v>5</v>
      </c>
      <c r="B10" s="35">
        <v>2.5734520000000001</v>
      </c>
      <c r="C10" s="36">
        <v>22.605132000000001</v>
      </c>
      <c r="D10" s="36">
        <v>26.454553000000001</v>
      </c>
      <c r="E10" s="36">
        <v>17.930786999999999</v>
      </c>
      <c r="F10" s="36">
        <v>26.955432999999999</v>
      </c>
      <c r="G10" s="36">
        <v>38.466822000000001</v>
      </c>
      <c r="H10" s="36">
        <v>16.270578</v>
      </c>
      <c r="I10" s="36">
        <v>22.329191000000002</v>
      </c>
      <c r="J10" s="36">
        <v>20.690503</v>
      </c>
      <c r="K10" s="36">
        <v>34.582420999999997</v>
      </c>
      <c r="L10" s="36">
        <v>22.659465000000001</v>
      </c>
      <c r="M10" s="37">
        <v>18.249504999999999</v>
      </c>
      <c r="N10" s="35">
        <v>68.165589999999995</v>
      </c>
      <c r="O10" s="36">
        <v>15.596990999999999</v>
      </c>
      <c r="P10" s="36">
        <v>16.700776999999999</v>
      </c>
      <c r="Q10" s="36">
        <v>17.138732000000001</v>
      </c>
      <c r="R10" s="36">
        <v>18.540386000000002</v>
      </c>
      <c r="S10" s="36">
        <v>28.799786999999998</v>
      </c>
      <c r="T10" s="36">
        <v>13.614881</v>
      </c>
      <c r="U10" s="36">
        <v>21.653092999999998</v>
      </c>
      <c r="V10" s="36">
        <v>30.164822999999998</v>
      </c>
      <c r="W10" s="36">
        <v>27.394314000000001</v>
      </c>
      <c r="X10" s="36">
        <v>18.474447000000001</v>
      </c>
      <c r="Y10" s="37">
        <v>38.129215000000002</v>
      </c>
      <c r="Z10" s="35">
        <v>32.894668000000003</v>
      </c>
      <c r="AA10" s="36">
        <v>25.969949</v>
      </c>
      <c r="AB10" s="36">
        <v>26.761883999999998</v>
      </c>
      <c r="AC10" s="36">
        <v>21.236958000000001</v>
      </c>
      <c r="AD10" s="36">
        <v>28.891286000000001</v>
      </c>
      <c r="AE10" s="36">
        <v>40.914127999999998</v>
      </c>
      <c r="AF10" s="36">
        <v>27.486854000000001</v>
      </c>
      <c r="AG10" s="36">
        <v>47.424429000000003</v>
      </c>
      <c r="AH10" s="36">
        <v>36.444600000000001</v>
      </c>
      <c r="AI10" s="36">
        <v>40.523744999999998</v>
      </c>
      <c r="AJ10" s="36">
        <v>21.570440999999999</v>
      </c>
      <c r="AK10" s="37">
        <v>16.309951999999999</v>
      </c>
      <c r="AL10" s="35">
        <v>17.077081</v>
      </c>
      <c r="AM10" s="36">
        <v>17.223412</v>
      </c>
      <c r="AN10" s="36">
        <v>26.906770000000002</v>
      </c>
      <c r="AO10" s="36">
        <v>22.977779999999999</v>
      </c>
      <c r="AP10" s="36">
        <v>23.242162</v>
      </c>
      <c r="AQ10" s="36">
        <v>25.273183</v>
      </c>
      <c r="AR10" s="36">
        <v>30.257254</v>
      </c>
      <c r="AS10" s="36">
        <v>38.862597000000001</v>
      </c>
      <c r="AT10" s="36">
        <v>45.180816</v>
      </c>
      <c r="AU10" s="36">
        <v>51.240946999999998</v>
      </c>
      <c r="AV10" s="36">
        <v>32.379927000000002</v>
      </c>
      <c r="AW10" s="37">
        <v>39.652061000000003</v>
      </c>
      <c r="AX10" s="35">
        <v>35.809424999999997</v>
      </c>
      <c r="AY10" s="36">
        <v>30.514330999999999</v>
      </c>
      <c r="AZ10" s="36">
        <v>30.940366999999998</v>
      </c>
      <c r="BA10" s="36">
        <v>24.090198999999998</v>
      </c>
      <c r="BB10" s="36">
        <v>201.81740300000001</v>
      </c>
      <c r="BC10" s="36">
        <v>257.91901100000001</v>
      </c>
      <c r="BD10" s="36">
        <v>56.823723000000001</v>
      </c>
      <c r="BE10" s="36">
        <v>37.806583000000003</v>
      </c>
      <c r="BF10" s="36">
        <v>41.886097999999997</v>
      </c>
      <c r="BG10" s="36">
        <v>296.76586500000002</v>
      </c>
      <c r="BH10" s="36">
        <v>604.92105800000002</v>
      </c>
      <c r="BI10" s="37">
        <v>722.34303999999997</v>
      </c>
      <c r="BJ10" s="35">
        <v>223.71519599999999</v>
      </c>
      <c r="BK10" s="36">
        <v>152.42242899999999</v>
      </c>
      <c r="BL10" s="36">
        <v>125.868876</v>
      </c>
      <c r="BM10" s="36">
        <f>116361839/1000000</f>
        <v>116.361839</v>
      </c>
      <c r="BN10" s="36">
        <f>63834144/1000000</f>
        <v>63.834144000000002</v>
      </c>
      <c r="BO10" s="36">
        <f>97830183/1000000</f>
        <v>97.830183000000005</v>
      </c>
      <c r="BP10" s="36">
        <f>329823396/1000000</f>
        <v>329.823396</v>
      </c>
      <c r="BQ10" s="36">
        <f>334824854/1000000</f>
        <v>334.82485400000002</v>
      </c>
      <c r="BR10" s="36">
        <f>181296914/1000000</f>
        <v>181.29691399999999</v>
      </c>
      <c r="BS10" s="36">
        <f>507534427/1000000</f>
        <v>507.53442699999999</v>
      </c>
      <c r="BT10" s="36">
        <f>307454140/1000000</f>
        <v>307.45414</v>
      </c>
      <c r="BU10" s="37">
        <f>238649810/1000000</f>
        <v>238.64981</v>
      </c>
      <c r="BV10" s="35">
        <v>275.21117199999998</v>
      </c>
      <c r="BW10" s="36">
        <v>286.703507</v>
      </c>
      <c r="BX10" s="36">
        <v>458.181917</v>
      </c>
      <c r="BY10" s="36">
        <v>439.13599499999998</v>
      </c>
      <c r="BZ10" s="36">
        <v>374.93305600000002</v>
      </c>
      <c r="CA10" s="36">
        <v>612.45627400000001</v>
      </c>
      <c r="CB10" s="36">
        <v>508.05351400000001</v>
      </c>
      <c r="CC10" s="36">
        <v>501.29787099999999</v>
      </c>
      <c r="CD10" s="36">
        <v>604.51633700000002</v>
      </c>
      <c r="CE10" s="36">
        <v>702.75764200000003</v>
      </c>
      <c r="CF10" s="36">
        <v>412.73616399999997</v>
      </c>
      <c r="CG10" s="37">
        <v>656.31691899999998</v>
      </c>
      <c r="CH10" s="35">
        <v>686.32235700000001</v>
      </c>
      <c r="CI10" s="36">
        <v>540.37469499999997</v>
      </c>
      <c r="CJ10" s="36">
        <v>425.20157399999999</v>
      </c>
      <c r="CK10" s="36">
        <v>934.59794199999999</v>
      </c>
      <c r="CL10" s="36">
        <v>686.16961000000003</v>
      </c>
      <c r="CM10" s="36">
        <v>1004.00199</v>
      </c>
      <c r="CN10" s="36">
        <v>818.94430799999998</v>
      </c>
      <c r="CO10" s="36">
        <v>666.97310500000003</v>
      </c>
      <c r="CP10" s="36">
        <v>653.70048799999995</v>
      </c>
      <c r="CQ10" s="36">
        <v>875.67114700000002</v>
      </c>
      <c r="CR10" s="36">
        <v>715.99188400000003</v>
      </c>
      <c r="CS10" s="37">
        <v>575.44771700000001</v>
      </c>
      <c r="CT10" s="35">
        <v>582.03387399999997</v>
      </c>
      <c r="CU10" s="36">
        <v>628.69807800000001</v>
      </c>
      <c r="CV10" s="36">
        <v>10.027345</v>
      </c>
      <c r="CW10" s="36">
        <v>312.425434</v>
      </c>
      <c r="CX10" s="36">
        <v>420.21804900000001</v>
      </c>
      <c r="CY10" s="36">
        <v>711.52740700000004</v>
      </c>
      <c r="CZ10" s="36">
        <v>429.94838099999998</v>
      </c>
      <c r="DA10" s="36">
        <v>690.434843</v>
      </c>
      <c r="DB10" s="36">
        <v>572.929168</v>
      </c>
      <c r="DC10" s="36">
        <v>694.080646</v>
      </c>
      <c r="DD10" s="36">
        <v>648.38101700000004</v>
      </c>
      <c r="DE10" s="37">
        <v>619.37032899999997</v>
      </c>
      <c r="DF10" s="35">
        <v>478.92684100000002</v>
      </c>
      <c r="DG10" s="36">
        <v>647.248197</v>
      </c>
      <c r="DH10" s="36">
        <v>565.83745999999996</v>
      </c>
      <c r="DI10" s="36">
        <v>742.72459400000002</v>
      </c>
      <c r="DJ10" s="36">
        <v>767.82771500000001</v>
      </c>
      <c r="DK10" s="36">
        <v>415.42958099999998</v>
      </c>
      <c r="DL10" s="41">
        <v>499.93824799999999</v>
      </c>
      <c r="DM10" s="41">
        <v>484.51624500000003</v>
      </c>
      <c r="DN10" s="36">
        <v>534.833932</v>
      </c>
      <c r="DO10" s="36">
        <v>369.66139700000002</v>
      </c>
      <c r="DP10" s="36">
        <v>455.11228599999998</v>
      </c>
      <c r="DQ10" s="37">
        <v>471.66868799999997</v>
      </c>
      <c r="DR10" s="35">
        <v>463.84849100000002</v>
      </c>
      <c r="DS10" s="36">
        <v>469.38846799999999</v>
      </c>
      <c r="DT10" s="36">
        <v>513.04161799999997</v>
      </c>
      <c r="DU10" s="36">
        <v>506.677435</v>
      </c>
      <c r="DV10" s="36">
        <v>534.45709299999999</v>
      </c>
      <c r="DW10" s="48" t="s">
        <v>51</v>
      </c>
      <c r="DX10" s="48" t="s">
        <v>51</v>
      </c>
      <c r="DY10" s="48">
        <v>313.56968799999999</v>
      </c>
      <c r="DZ10" s="48">
        <v>413.31460499999997</v>
      </c>
      <c r="EA10" s="37">
        <v>335.31585999999999</v>
      </c>
    </row>
    <row r="11" spans="1:133" ht="15" x14ac:dyDescent="0.2">
      <c r="A11" s="8" t="s">
        <v>6</v>
      </c>
      <c r="B11" s="35">
        <v>1.6374040000000001</v>
      </c>
      <c r="C11" s="36">
        <v>1.2738119999999999</v>
      </c>
      <c r="D11" s="36">
        <v>1.300327</v>
      </c>
      <c r="E11" s="36">
        <v>1.4316009999999999</v>
      </c>
      <c r="F11" s="36">
        <v>2.2145229999999998</v>
      </c>
      <c r="G11" s="36">
        <v>1.3565039999999999</v>
      </c>
      <c r="H11" s="36">
        <v>1.1411549999999999</v>
      </c>
      <c r="I11" s="36">
        <v>1.476502</v>
      </c>
      <c r="J11" s="36">
        <v>1.700887</v>
      </c>
      <c r="K11" s="36">
        <v>1.1909460000000001</v>
      </c>
      <c r="L11" s="36">
        <v>1.4440269999999999</v>
      </c>
      <c r="M11" s="37">
        <v>1.2088989999999999</v>
      </c>
      <c r="N11" s="35">
        <v>1.344873</v>
      </c>
      <c r="O11" s="36">
        <v>1.1779599999999999</v>
      </c>
      <c r="P11" s="36">
        <v>1.668431</v>
      </c>
      <c r="Q11" s="36">
        <v>1.3621030000000001</v>
      </c>
      <c r="R11" s="36">
        <v>1.4950909999999999</v>
      </c>
      <c r="S11" s="36">
        <v>1.6431480000000001</v>
      </c>
      <c r="T11" s="36">
        <v>1.1823760000000001</v>
      </c>
      <c r="U11" s="36">
        <v>1.582098</v>
      </c>
      <c r="V11" s="36">
        <v>1.1858089999999999</v>
      </c>
      <c r="W11" s="36">
        <v>1.19052</v>
      </c>
      <c r="X11" s="36">
        <v>1.0654349999999999</v>
      </c>
      <c r="Y11" s="37">
        <v>1.3506560000000001</v>
      </c>
      <c r="Z11" s="35">
        <v>1.6186670000000001</v>
      </c>
      <c r="AA11" s="36">
        <v>1.4131629999999999</v>
      </c>
      <c r="AB11" s="36">
        <v>2.0588730000000002</v>
      </c>
      <c r="AC11" s="36">
        <v>1.707252</v>
      </c>
      <c r="AD11" s="36">
        <v>1.987217</v>
      </c>
      <c r="AE11" s="36">
        <v>1.984461</v>
      </c>
      <c r="AF11" s="36">
        <v>1.676836</v>
      </c>
      <c r="AG11" s="36">
        <v>2.561963</v>
      </c>
      <c r="AH11" s="36">
        <v>1.465983</v>
      </c>
      <c r="AI11" s="36">
        <v>3.216259</v>
      </c>
      <c r="AJ11" s="36">
        <v>1.3459110000000001</v>
      </c>
      <c r="AK11" s="37">
        <v>1.136682</v>
      </c>
      <c r="AL11" s="35">
        <v>1.7455050000000001</v>
      </c>
      <c r="AM11" s="36">
        <v>1.2629950000000001</v>
      </c>
      <c r="AN11" s="36">
        <v>1.8812960000000001</v>
      </c>
      <c r="AO11" s="36">
        <v>1.526265</v>
      </c>
      <c r="AP11" s="36">
        <v>1.626374</v>
      </c>
      <c r="AQ11" s="36">
        <v>1.53504</v>
      </c>
      <c r="AR11" s="36">
        <v>1.4201760000000001</v>
      </c>
      <c r="AS11" s="36">
        <v>1.7405520000000001</v>
      </c>
      <c r="AT11" s="36">
        <v>1.5960209999999999</v>
      </c>
      <c r="AU11" s="36">
        <v>1.4936769999999999</v>
      </c>
      <c r="AV11" s="36">
        <v>1.503136</v>
      </c>
      <c r="AW11" s="37">
        <v>1.469724</v>
      </c>
      <c r="AX11" s="35">
        <v>1.7987169999999999</v>
      </c>
      <c r="AY11" s="36">
        <v>0.87531199999999998</v>
      </c>
      <c r="AZ11" s="36">
        <v>1.6037030000000001</v>
      </c>
      <c r="BA11" s="36">
        <v>1.714798</v>
      </c>
      <c r="BB11" s="36">
        <v>1.544575</v>
      </c>
      <c r="BC11" s="36">
        <v>1.1496660000000001</v>
      </c>
      <c r="BD11" s="36">
        <v>1.366179</v>
      </c>
      <c r="BE11" s="36">
        <v>1.7223299999999999</v>
      </c>
      <c r="BF11" s="36">
        <v>1.2359370000000001</v>
      </c>
      <c r="BG11" s="36">
        <v>1.2379690000000001</v>
      </c>
      <c r="BH11" s="36">
        <v>1.4130400000000001</v>
      </c>
      <c r="BI11" s="37">
        <v>1.26451</v>
      </c>
      <c r="BJ11" s="35">
        <v>1.157983</v>
      </c>
      <c r="BK11" s="36">
        <v>1.739619</v>
      </c>
      <c r="BL11" s="36">
        <v>1.210996</v>
      </c>
      <c r="BM11" s="36">
        <f>1034057/1000000</f>
        <v>1.034057</v>
      </c>
      <c r="BN11" s="36">
        <f>2664322/1000000</f>
        <v>2.6643219999999999</v>
      </c>
      <c r="BO11" s="36">
        <f>1580676/1000000</f>
        <v>1.580676</v>
      </c>
      <c r="BP11" s="36">
        <f>2415072/1000000</f>
        <v>2.4150719999999999</v>
      </c>
      <c r="BQ11" s="36">
        <f>1904828/1000000</f>
        <v>1.904828</v>
      </c>
      <c r="BR11" s="36">
        <f>2189565/1000000</f>
        <v>2.189565</v>
      </c>
      <c r="BS11" s="36">
        <f>1519842/1000000</f>
        <v>1.5198419999999999</v>
      </c>
      <c r="BT11" s="36">
        <f>1685584/1000000</f>
        <v>1.685584</v>
      </c>
      <c r="BU11" s="37">
        <f>1977926/1000000</f>
        <v>1.9779260000000001</v>
      </c>
      <c r="BV11" s="35">
        <f>1396813/1000000</f>
        <v>1.3968130000000001</v>
      </c>
      <c r="BW11" s="36">
        <f>2286378/1000000</f>
        <v>2.286378</v>
      </c>
      <c r="BX11" s="36">
        <f>2681692/1000000</f>
        <v>2.681692</v>
      </c>
      <c r="BY11" s="36">
        <f>2580987/1000000</f>
        <v>2.5809869999999999</v>
      </c>
      <c r="BZ11" s="36">
        <f>1478008/1000000</f>
        <v>1.478008</v>
      </c>
      <c r="CA11" s="36">
        <f>1940569/1000000</f>
        <v>1.940569</v>
      </c>
      <c r="CB11" s="36">
        <f>2756602/1000000</f>
        <v>2.756602</v>
      </c>
      <c r="CC11" s="36">
        <f>2364331/1000000</f>
        <v>2.364331</v>
      </c>
      <c r="CD11" s="36">
        <f>2197216/1000000</f>
        <v>2.1972160000000001</v>
      </c>
      <c r="CE11" s="36">
        <f>1882545/1000000</f>
        <v>1.8825449999999999</v>
      </c>
      <c r="CF11" s="36">
        <f>2677448/1000000</f>
        <v>2.6774480000000001</v>
      </c>
      <c r="CG11" s="37">
        <f>1469169/1000000</f>
        <v>1.4691689999999999</v>
      </c>
      <c r="CH11" s="35">
        <v>3.083898</v>
      </c>
      <c r="CI11" s="36">
        <f>1991138/1000000</f>
        <v>1.9911380000000001</v>
      </c>
      <c r="CJ11" s="36">
        <v>3.3560949999999998</v>
      </c>
      <c r="CK11" s="36">
        <v>4.8655020000000002</v>
      </c>
      <c r="CL11" s="36">
        <v>3.7707299999999999</v>
      </c>
      <c r="CM11" s="36">
        <v>3.0198339999999999</v>
      </c>
      <c r="CN11" s="36">
        <v>3.1476500000000001</v>
      </c>
      <c r="CO11" s="36">
        <v>3.8155600000000001</v>
      </c>
      <c r="CP11" s="36">
        <v>2.174264</v>
      </c>
      <c r="CQ11" s="36">
        <v>1.425014</v>
      </c>
      <c r="CR11" s="36">
        <v>1.6680649999999999</v>
      </c>
      <c r="CS11" s="37">
        <v>2.4753509999999999</v>
      </c>
      <c r="CT11" s="35">
        <v>2.243849</v>
      </c>
      <c r="CU11" s="36">
        <v>1.9421710000000001</v>
      </c>
      <c r="CV11" s="36">
        <v>3.4871020000000001</v>
      </c>
      <c r="CW11" s="36">
        <v>2.5397959999999999</v>
      </c>
      <c r="CX11" s="36">
        <v>1.6780710000000001</v>
      </c>
      <c r="CY11" s="36">
        <v>2.6265160000000001</v>
      </c>
      <c r="CZ11" s="36">
        <v>1.939646</v>
      </c>
      <c r="DA11" s="36">
        <v>2.4031709999999999</v>
      </c>
      <c r="DB11" s="36">
        <v>2.2454489999999998</v>
      </c>
      <c r="DC11" s="36">
        <v>1.9772670000000001</v>
      </c>
      <c r="DD11" s="36">
        <v>1.8515950000000001</v>
      </c>
      <c r="DE11" s="37">
        <v>1.764869</v>
      </c>
      <c r="DF11" s="35">
        <v>1.7269890000000001</v>
      </c>
      <c r="DG11" s="36">
        <v>1.628865</v>
      </c>
      <c r="DH11" s="36">
        <v>2.2179479999999998</v>
      </c>
      <c r="DI11" s="36">
        <v>1.7199519999999999</v>
      </c>
      <c r="DJ11" s="36">
        <v>1.92292</v>
      </c>
      <c r="DK11" s="36">
        <v>2.3992290000000001</v>
      </c>
      <c r="DL11" s="41">
        <v>2.0242520000000002</v>
      </c>
      <c r="DM11" s="41">
        <v>2.3500190000000001</v>
      </c>
      <c r="DN11" s="36">
        <v>2.4647070000000002</v>
      </c>
      <c r="DO11" s="36">
        <v>1.924768</v>
      </c>
      <c r="DP11" s="36">
        <v>2.2982819999999999</v>
      </c>
      <c r="DQ11" s="37">
        <v>2.8432659999999998</v>
      </c>
      <c r="DR11" s="35">
        <v>2.5734680000000001</v>
      </c>
      <c r="DS11" s="36">
        <v>1.4933749999999999</v>
      </c>
      <c r="DT11" s="36">
        <v>2.6003660000000002</v>
      </c>
      <c r="DU11" s="36">
        <v>2.555345</v>
      </c>
      <c r="DV11" s="36">
        <v>2.724075</v>
      </c>
      <c r="DW11" s="48" t="s">
        <v>51</v>
      </c>
      <c r="DX11" s="48" t="s">
        <v>51</v>
      </c>
      <c r="DY11" s="48">
        <v>2.9413589999999998</v>
      </c>
      <c r="DZ11" s="48">
        <v>1.8141929999999999</v>
      </c>
      <c r="EA11" s="37">
        <v>1.963192</v>
      </c>
    </row>
    <row r="12" spans="1:133" ht="15" x14ac:dyDescent="0.2">
      <c r="A12" s="8" t="s">
        <v>7</v>
      </c>
      <c r="B12" s="35">
        <v>23.896252</v>
      </c>
      <c r="C12" s="36">
        <v>19.951487</v>
      </c>
      <c r="D12" s="36">
        <v>26.398237999999999</v>
      </c>
      <c r="E12" s="36">
        <v>24.463372</v>
      </c>
      <c r="F12" s="36">
        <v>38.947440999999998</v>
      </c>
      <c r="G12" s="36">
        <v>30.221131</v>
      </c>
      <c r="H12" s="36">
        <v>25.537624999999998</v>
      </c>
      <c r="I12" s="36">
        <v>23.986317</v>
      </c>
      <c r="J12" s="36">
        <v>28.234317000000001</v>
      </c>
      <c r="K12" s="36">
        <v>24.053315999999999</v>
      </c>
      <c r="L12" s="36">
        <v>31.633023999999999</v>
      </c>
      <c r="M12" s="37">
        <v>25.876365</v>
      </c>
      <c r="N12" s="35">
        <v>24.559488999999999</v>
      </c>
      <c r="O12" s="36">
        <v>19.162336</v>
      </c>
      <c r="P12" s="36">
        <v>25.974264999999999</v>
      </c>
      <c r="Q12" s="36">
        <v>43.219293999999998</v>
      </c>
      <c r="R12" s="36">
        <v>24.562038999999999</v>
      </c>
      <c r="S12" s="36">
        <v>29.988683999999999</v>
      </c>
      <c r="T12" s="36">
        <v>24.050879999999999</v>
      </c>
      <c r="U12" s="36">
        <v>35.821596999999997</v>
      </c>
      <c r="V12" s="36">
        <v>23.105152</v>
      </c>
      <c r="W12" s="36">
        <v>27.405581000000002</v>
      </c>
      <c r="X12" s="36">
        <v>32.199790999999998</v>
      </c>
      <c r="Y12" s="37">
        <v>25.474488999999998</v>
      </c>
      <c r="Z12" s="35">
        <v>21.358080999999999</v>
      </c>
      <c r="AA12" s="36">
        <v>20.708369999999999</v>
      </c>
      <c r="AB12" s="36">
        <v>34.034050999999998</v>
      </c>
      <c r="AC12" s="36">
        <v>22.047377999999998</v>
      </c>
      <c r="AD12" s="36">
        <v>20.862677999999999</v>
      </c>
      <c r="AE12" s="36">
        <v>21.684604</v>
      </c>
      <c r="AF12" s="36">
        <v>23.358225000000001</v>
      </c>
      <c r="AG12" s="36">
        <v>28.231003000000001</v>
      </c>
      <c r="AH12" s="36">
        <v>23.372602000000001</v>
      </c>
      <c r="AI12" s="36">
        <v>59.951193000000004</v>
      </c>
      <c r="AJ12" s="36">
        <v>38.351787000000002</v>
      </c>
      <c r="AK12" s="37">
        <v>25.354292000000001</v>
      </c>
      <c r="AL12" s="35">
        <v>24.701279</v>
      </c>
      <c r="AM12" s="36">
        <v>20.613879000000001</v>
      </c>
      <c r="AN12" s="36">
        <v>23.190045999999999</v>
      </c>
      <c r="AO12" s="36">
        <v>29.584546</v>
      </c>
      <c r="AP12" s="36">
        <v>30.401720999999998</v>
      </c>
      <c r="AQ12" s="36">
        <v>28.740788999999999</v>
      </c>
      <c r="AR12" s="36">
        <v>29.772867999999999</v>
      </c>
      <c r="AS12" s="36">
        <v>28.471446</v>
      </c>
      <c r="AT12" s="36">
        <v>29.160463</v>
      </c>
      <c r="AU12" s="36">
        <v>37.055008999999998</v>
      </c>
      <c r="AV12" s="36">
        <v>37.206449999999997</v>
      </c>
      <c r="AW12" s="37">
        <v>39.707599000000002</v>
      </c>
      <c r="AX12" s="35">
        <v>73.202869000000007</v>
      </c>
      <c r="AY12" s="36">
        <v>30.733332000000001</v>
      </c>
      <c r="AZ12" s="36">
        <v>34.321179000000001</v>
      </c>
      <c r="BA12" s="36">
        <v>26.925015999999999</v>
      </c>
      <c r="BB12" s="36">
        <v>55.978242999999999</v>
      </c>
      <c r="BC12" s="36">
        <v>50.385100999999999</v>
      </c>
      <c r="BD12" s="36">
        <v>40.124715999999999</v>
      </c>
      <c r="BE12" s="36">
        <v>29.266649999999998</v>
      </c>
      <c r="BF12" s="36">
        <v>29.495511</v>
      </c>
      <c r="BG12" s="36">
        <v>36.450865</v>
      </c>
      <c r="BH12" s="36">
        <v>30.460954999999998</v>
      </c>
      <c r="BI12" s="37">
        <v>52.056733999999999</v>
      </c>
      <c r="BJ12" s="35">
        <v>45.858535000000003</v>
      </c>
      <c r="BK12" s="36">
        <v>25.238699</v>
      </c>
      <c r="BL12" s="36">
        <v>25.142862000000001</v>
      </c>
      <c r="BM12" s="36">
        <f>46835477/1000000</f>
        <v>46.835476999999997</v>
      </c>
      <c r="BN12" s="36">
        <f>59979342/1000000</f>
        <v>59.979342000000003</v>
      </c>
      <c r="BO12" s="36">
        <f>74615826/1000000</f>
        <v>74.615825999999998</v>
      </c>
      <c r="BP12" s="36">
        <f>74911650/1000000</f>
        <v>74.911649999999995</v>
      </c>
      <c r="BQ12" s="36">
        <f>69339741/1000000</f>
        <v>69.339741000000004</v>
      </c>
      <c r="BR12" s="36">
        <f>70402955/1000000</f>
        <v>70.402955000000006</v>
      </c>
      <c r="BS12" s="36">
        <f>62459579/1000000</f>
        <v>62.459578999999998</v>
      </c>
      <c r="BT12" s="36">
        <f>61389376/1000000</f>
        <v>61.389375999999999</v>
      </c>
      <c r="BU12" s="37">
        <f>53094974/1000000</f>
        <v>53.094974000000001</v>
      </c>
      <c r="BV12" s="35">
        <f>56685908/1000000</f>
        <v>56.685907999999998</v>
      </c>
      <c r="BW12" s="36">
        <f>32734596/1000000</f>
        <v>32.734596000000003</v>
      </c>
      <c r="BX12" s="36">
        <f>36510048/1000000</f>
        <v>36.510047999999998</v>
      </c>
      <c r="BY12" s="36">
        <v>55.942202000000002</v>
      </c>
      <c r="BZ12" s="36">
        <f>28690011/1000000</f>
        <v>28.690010999999998</v>
      </c>
      <c r="CA12" s="36">
        <f>39002970/1000000</f>
        <v>39.002969999999998</v>
      </c>
      <c r="CB12" s="36">
        <f>47116301/1000000</f>
        <v>47.116301</v>
      </c>
      <c r="CC12" s="36">
        <f>41355448/1000000</f>
        <v>41.355448000000003</v>
      </c>
      <c r="CD12" s="36">
        <f>108829744/1000000</f>
        <v>108.82974400000001</v>
      </c>
      <c r="CE12" s="36">
        <v>48.087719999999997</v>
      </c>
      <c r="CF12" s="36">
        <f>54352274/1000000</f>
        <v>54.352274000000001</v>
      </c>
      <c r="CG12" s="37">
        <f>29161284/1000000</f>
        <v>29.161283999999998</v>
      </c>
      <c r="CH12" s="35">
        <v>38.120646000000001</v>
      </c>
      <c r="CI12" s="36">
        <v>36.128782000000001</v>
      </c>
      <c r="CJ12" s="36">
        <v>94.369851999999995</v>
      </c>
      <c r="CK12" s="36">
        <v>88.454189</v>
      </c>
      <c r="CL12" s="36">
        <v>89.532827999999995</v>
      </c>
      <c r="CM12" s="36">
        <v>34.99362</v>
      </c>
      <c r="CN12" s="36">
        <v>47.232788999999997</v>
      </c>
      <c r="CO12" s="36">
        <v>56.740841000000003</v>
      </c>
      <c r="CP12" s="36">
        <v>39.662604999999999</v>
      </c>
      <c r="CQ12" s="36">
        <v>44.615285999999998</v>
      </c>
      <c r="CR12" s="36">
        <v>47.365971999999999</v>
      </c>
      <c r="CS12" s="37">
        <v>72.611362999999997</v>
      </c>
      <c r="CT12" s="35">
        <v>39.005265999999999</v>
      </c>
      <c r="CU12" s="36">
        <v>37.645740000000004</v>
      </c>
      <c r="CV12" s="36">
        <v>218.27890099999999</v>
      </c>
      <c r="CW12" s="36">
        <v>52.034956000000001</v>
      </c>
      <c r="CX12" s="36">
        <v>33.450420000000001</v>
      </c>
      <c r="CY12" s="36">
        <v>30.810680999999999</v>
      </c>
      <c r="CZ12" s="36">
        <v>56.347549999999998</v>
      </c>
      <c r="DA12" s="36">
        <v>95.092644000000007</v>
      </c>
      <c r="DB12" s="36">
        <v>30.046748000000001</v>
      </c>
      <c r="DC12" s="36">
        <v>37.963366000000001</v>
      </c>
      <c r="DD12" s="36">
        <v>28.337395000000001</v>
      </c>
      <c r="DE12" s="37">
        <v>44.336956000000001</v>
      </c>
      <c r="DF12" s="35">
        <v>32.948475999999999</v>
      </c>
      <c r="DG12" s="36">
        <v>25.193147</v>
      </c>
      <c r="DH12" s="36">
        <v>41.467582999999998</v>
      </c>
      <c r="DI12" s="36">
        <v>33.263818999999998</v>
      </c>
      <c r="DJ12" s="36">
        <v>30.419632</v>
      </c>
      <c r="DK12" s="36">
        <v>34.507508000000001</v>
      </c>
      <c r="DL12" s="41">
        <v>39.014980999999999</v>
      </c>
      <c r="DM12" s="41">
        <v>47.928449000000001</v>
      </c>
      <c r="DN12" s="36">
        <v>32.398662000000002</v>
      </c>
      <c r="DO12" s="36">
        <v>26.626148000000001</v>
      </c>
      <c r="DP12" s="36">
        <v>33.837200000000003</v>
      </c>
      <c r="DQ12" s="37">
        <v>30.489709000000001</v>
      </c>
      <c r="DR12" s="35">
        <v>38.032425000000003</v>
      </c>
      <c r="DS12" s="36">
        <v>26.678114000000001</v>
      </c>
      <c r="DT12" s="36">
        <v>29.543216999999999</v>
      </c>
      <c r="DU12" s="36">
        <v>29.135299</v>
      </c>
      <c r="DV12" s="36">
        <v>39.747143999999999</v>
      </c>
      <c r="DW12" s="48" t="s">
        <v>51</v>
      </c>
      <c r="DX12" s="48" t="s">
        <v>51</v>
      </c>
      <c r="DY12" s="48">
        <v>29.953652999999999</v>
      </c>
      <c r="DZ12" s="48">
        <v>35.962293000000003</v>
      </c>
      <c r="EA12" s="37">
        <v>33.271821000000003</v>
      </c>
    </row>
    <row r="13" spans="1:133" ht="15" x14ac:dyDescent="0.2">
      <c r="A13" s="8" t="s">
        <v>8</v>
      </c>
      <c r="B13" s="35">
        <v>53.923169000000001</v>
      </c>
      <c r="C13" s="36">
        <v>49.417498999999999</v>
      </c>
      <c r="D13" s="36">
        <v>83.348782</v>
      </c>
      <c r="E13" s="36">
        <v>93.018681000000001</v>
      </c>
      <c r="F13" s="36">
        <v>98.760237000000004</v>
      </c>
      <c r="G13" s="36">
        <v>116.011184</v>
      </c>
      <c r="H13" s="36">
        <v>102.17191</v>
      </c>
      <c r="I13" s="36">
        <v>69.731122999999997</v>
      </c>
      <c r="J13" s="36">
        <v>70.661621999999994</v>
      </c>
      <c r="K13" s="36">
        <v>77.629149999999996</v>
      </c>
      <c r="L13" s="36">
        <v>75.872416999999999</v>
      </c>
      <c r="M13" s="37">
        <v>63.246600000000001</v>
      </c>
      <c r="N13" s="35">
        <v>100.634576</v>
      </c>
      <c r="O13" s="36">
        <v>47.26417</v>
      </c>
      <c r="P13" s="36">
        <v>85.154571000000004</v>
      </c>
      <c r="Q13" s="36">
        <v>71.937385000000006</v>
      </c>
      <c r="R13" s="36">
        <v>58.063372999999999</v>
      </c>
      <c r="S13" s="36">
        <v>66.369776000000002</v>
      </c>
      <c r="T13" s="36">
        <v>50.841397000000001</v>
      </c>
      <c r="U13" s="36">
        <v>46.586351999999998</v>
      </c>
      <c r="V13" s="36">
        <v>51.010261999999997</v>
      </c>
      <c r="W13" s="36">
        <v>41.567247999999999</v>
      </c>
      <c r="X13" s="36">
        <v>65.347472999999994</v>
      </c>
      <c r="Y13" s="37">
        <v>51.571008999999997</v>
      </c>
      <c r="Z13" s="35">
        <v>53.753509999999999</v>
      </c>
      <c r="AA13" s="36">
        <v>44.867634000000002</v>
      </c>
      <c r="AB13" s="36">
        <v>71.118356000000006</v>
      </c>
      <c r="AC13" s="36">
        <v>75.915434000000005</v>
      </c>
      <c r="AD13" s="36">
        <v>96.950219000000004</v>
      </c>
      <c r="AE13" s="36">
        <v>72.034702999999993</v>
      </c>
      <c r="AF13" s="36">
        <v>61.103371000000003</v>
      </c>
      <c r="AG13" s="36">
        <v>159.27853400000001</v>
      </c>
      <c r="AH13" s="36">
        <v>102.219285</v>
      </c>
      <c r="AI13" s="36">
        <v>75.238298999999998</v>
      </c>
      <c r="AJ13" s="36">
        <v>74.954089999999994</v>
      </c>
      <c r="AK13" s="37">
        <v>140.627816</v>
      </c>
      <c r="AL13" s="35">
        <v>104.472275</v>
      </c>
      <c r="AM13" s="36">
        <v>107.16902899999999</v>
      </c>
      <c r="AN13" s="36">
        <v>88.890007999999995</v>
      </c>
      <c r="AO13" s="36">
        <v>113.337785</v>
      </c>
      <c r="AP13" s="36">
        <v>116.92707900000001</v>
      </c>
      <c r="AQ13" s="36">
        <v>219.452157</v>
      </c>
      <c r="AR13" s="36">
        <v>163.52880400000001</v>
      </c>
      <c r="AS13" s="36">
        <v>90.699225999999996</v>
      </c>
      <c r="AT13" s="36">
        <v>151.29986099999999</v>
      </c>
      <c r="AU13" s="36">
        <v>135.99739700000001</v>
      </c>
      <c r="AV13" s="36">
        <v>127.597116</v>
      </c>
      <c r="AW13" s="37">
        <v>180.81487799999999</v>
      </c>
      <c r="AX13" s="35">
        <v>110.440642</v>
      </c>
      <c r="AY13" s="36">
        <v>64.608070999999995</v>
      </c>
      <c r="AZ13" s="36">
        <v>83.233464999999995</v>
      </c>
      <c r="BA13" s="36">
        <v>80.878932000000006</v>
      </c>
      <c r="BB13" s="36">
        <v>72.647408999999996</v>
      </c>
      <c r="BC13" s="36">
        <v>57.537402</v>
      </c>
      <c r="BD13" s="36">
        <v>70.344448</v>
      </c>
      <c r="BE13" s="36">
        <v>51.489448000000003</v>
      </c>
      <c r="BF13" s="36">
        <v>78.650895000000006</v>
      </c>
      <c r="BG13" s="36">
        <v>107.604035</v>
      </c>
      <c r="BH13" s="36">
        <v>78.107791000000006</v>
      </c>
      <c r="BI13" s="37">
        <v>109.467974</v>
      </c>
      <c r="BJ13" s="35">
        <v>113.830889</v>
      </c>
      <c r="BK13" s="36">
        <v>33.701529000000001</v>
      </c>
      <c r="BL13" s="36">
        <v>40.369537999999999</v>
      </c>
      <c r="BM13" s="36">
        <f>48152211/1000000</f>
        <v>48.152211000000001</v>
      </c>
      <c r="BN13" s="36">
        <f>55259188/1000000</f>
        <v>55.259188000000002</v>
      </c>
      <c r="BO13" s="36">
        <f>92056688/1000000</f>
        <v>92.056687999999994</v>
      </c>
      <c r="BP13" s="36">
        <f>104215163/1000000</f>
        <v>104.215163</v>
      </c>
      <c r="BQ13" s="36">
        <f>56061113/1000000</f>
        <v>56.061112999999999</v>
      </c>
      <c r="BR13" s="36">
        <f>75356226/1000000</f>
        <v>75.356226000000007</v>
      </c>
      <c r="BS13" s="36">
        <f>64037751/1000000</f>
        <v>64.037751</v>
      </c>
      <c r="BT13" s="36">
        <f>85082963/1000000</f>
        <v>85.082963000000007</v>
      </c>
      <c r="BU13" s="37">
        <f>59008468/1000000</f>
        <v>59.008468000000001</v>
      </c>
      <c r="BV13" s="35">
        <f>53341092/1000000</f>
        <v>53.341092000000003</v>
      </c>
      <c r="BW13" s="36">
        <f>37514322/1000000</f>
        <v>37.514322</v>
      </c>
      <c r="BX13" s="36">
        <f>54998308/1000000</f>
        <v>54.998308000000002</v>
      </c>
      <c r="BY13" s="36">
        <f>40553134/1000000</f>
        <v>40.553134</v>
      </c>
      <c r="BZ13" s="36">
        <f>56707429/1000000</f>
        <v>56.707428999999998</v>
      </c>
      <c r="CA13" s="36">
        <f>45007317/1000000</f>
        <v>45.007317</v>
      </c>
      <c r="CB13" s="36">
        <f>45144843/1000000</f>
        <v>45.144843000000002</v>
      </c>
      <c r="CC13" s="36">
        <f>38731375/1000000</f>
        <v>38.731375</v>
      </c>
      <c r="CD13" s="36">
        <f>40244134/1000000</f>
        <v>40.244134000000003</v>
      </c>
      <c r="CE13" s="36">
        <f>48922281/1000000</f>
        <v>48.922280999999998</v>
      </c>
      <c r="CF13" s="36">
        <f>42434091/1000000</f>
        <v>42.434091000000002</v>
      </c>
      <c r="CG13" s="37">
        <f>43877637/1000000</f>
        <v>43.877637</v>
      </c>
      <c r="CH13" s="35">
        <v>39.922249999999998</v>
      </c>
      <c r="CI13" s="36">
        <v>37.238264999999998</v>
      </c>
      <c r="CJ13" s="36">
        <v>57.816073000000003</v>
      </c>
      <c r="CK13" s="36">
        <v>43.971992999999998</v>
      </c>
      <c r="CL13" s="36">
        <v>37.513198000000003</v>
      </c>
      <c r="CM13" s="36">
        <v>60.453066</v>
      </c>
      <c r="CN13" s="36">
        <v>41.027780999999997</v>
      </c>
      <c r="CO13" s="36">
        <v>59.217627999999998</v>
      </c>
      <c r="CP13" s="36">
        <v>45.429681000000002</v>
      </c>
      <c r="CQ13" s="36">
        <v>50.952337999999997</v>
      </c>
      <c r="CR13" s="36">
        <v>45.442608999999997</v>
      </c>
      <c r="CS13" s="37">
        <v>56.345244999999998</v>
      </c>
      <c r="CT13" s="35">
        <v>35.440911</v>
      </c>
      <c r="CU13" s="36">
        <v>34.402797</v>
      </c>
      <c r="CV13" s="36">
        <v>43.690573999999998</v>
      </c>
      <c r="CW13" s="36">
        <v>44.068106</v>
      </c>
      <c r="CX13" s="36">
        <v>38.538325</v>
      </c>
      <c r="CY13" s="36">
        <v>74.602833000000004</v>
      </c>
      <c r="CZ13" s="36">
        <v>42.567518</v>
      </c>
      <c r="DA13" s="36">
        <v>80.073338000000007</v>
      </c>
      <c r="DB13" s="36">
        <v>41.695095000000002</v>
      </c>
      <c r="DC13" s="36">
        <v>38.704377000000001</v>
      </c>
      <c r="DD13" s="36">
        <v>43.410088999999999</v>
      </c>
      <c r="DE13" s="37">
        <v>42.729857000000003</v>
      </c>
      <c r="DF13" s="35">
        <v>153.06365700000001</v>
      </c>
      <c r="DG13" s="36">
        <v>40.434134999999998</v>
      </c>
      <c r="DH13" s="36">
        <v>40.819262000000002</v>
      </c>
      <c r="DI13" s="36">
        <v>52.380341999999999</v>
      </c>
      <c r="DJ13" s="36">
        <v>38.794744999999999</v>
      </c>
      <c r="DK13" s="36">
        <v>46.012402999999999</v>
      </c>
      <c r="DL13" s="41">
        <v>33.262214</v>
      </c>
      <c r="DM13" s="41">
        <v>37.868879999999997</v>
      </c>
      <c r="DN13" s="36">
        <v>31.123169999999998</v>
      </c>
      <c r="DO13" s="36">
        <v>38.855325999999998</v>
      </c>
      <c r="DP13" s="36">
        <v>46.214056999999997</v>
      </c>
      <c r="DQ13" s="37">
        <v>36.466881999999998</v>
      </c>
      <c r="DR13" s="35">
        <v>40.255046999999998</v>
      </c>
      <c r="DS13" s="36">
        <v>27.808403999999999</v>
      </c>
      <c r="DT13" s="36">
        <v>39.038411000000004</v>
      </c>
      <c r="DU13" s="36">
        <v>47.381301999999998</v>
      </c>
      <c r="DV13" s="36">
        <v>33.720910000000003</v>
      </c>
      <c r="DW13" s="48" t="s">
        <v>51</v>
      </c>
      <c r="DX13" s="48" t="s">
        <v>51</v>
      </c>
      <c r="DY13" s="48">
        <v>47.041466</v>
      </c>
      <c r="DZ13" s="48">
        <v>28.798597000000001</v>
      </c>
      <c r="EA13" s="37">
        <v>41.301411000000002</v>
      </c>
    </row>
    <row r="14" spans="1:133" ht="15" x14ac:dyDescent="0.2">
      <c r="A14" s="8" t="s">
        <v>9</v>
      </c>
      <c r="B14" s="35">
        <v>124.84612</v>
      </c>
      <c r="C14" s="36">
        <v>92.586613</v>
      </c>
      <c r="D14" s="36">
        <v>119.58226000000001</v>
      </c>
      <c r="E14" s="36">
        <v>119.93670299999999</v>
      </c>
      <c r="F14" s="36">
        <v>145.23469399999999</v>
      </c>
      <c r="G14" s="36">
        <v>125.43556599999999</v>
      </c>
      <c r="H14" s="36">
        <v>377.13166999999999</v>
      </c>
      <c r="I14" s="36">
        <v>90.839637999999994</v>
      </c>
      <c r="J14" s="36">
        <v>230.49826899999999</v>
      </c>
      <c r="K14" s="36">
        <v>99.680955999999995</v>
      </c>
      <c r="L14" s="36">
        <v>113.551597</v>
      </c>
      <c r="M14" s="37">
        <v>113.19318800000001</v>
      </c>
      <c r="N14" s="35">
        <v>91.974768999999995</v>
      </c>
      <c r="O14" s="36">
        <v>80.924402000000001</v>
      </c>
      <c r="P14" s="36">
        <v>130.38683399999999</v>
      </c>
      <c r="Q14" s="36">
        <v>92.096063000000001</v>
      </c>
      <c r="R14" s="36">
        <v>109.241803</v>
      </c>
      <c r="S14" s="36">
        <v>109.56912800000001</v>
      </c>
      <c r="T14" s="36">
        <v>96.369552999999996</v>
      </c>
      <c r="U14" s="36">
        <v>129.05573000000001</v>
      </c>
      <c r="V14" s="36">
        <v>78.283409000000006</v>
      </c>
      <c r="W14" s="36">
        <v>111.93695</v>
      </c>
      <c r="X14" s="36">
        <v>84.729575999999994</v>
      </c>
      <c r="Y14" s="37">
        <v>100.150638</v>
      </c>
      <c r="Z14" s="35">
        <v>124.12446</v>
      </c>
      <c r="AA14" s="36">
        <v>107.956841</v>
      </c>
      <c r="AB14" s="36">
        <v>144.645884</v>
      </c>
      <c r="AC14" s="36">
        <v>95.980126999999996</v>
      </c>
      <c r="AD14" s="36">
        <v>90.115122</v>
      </c>
      <c r="AE14" s="36">
        <v>178.15900400000001</v>
      </c>
      <c r="AF14" s="36">
        <v>93.576824000000002</v>
      </c>
      <c r="AG14" s="36">
        <v>117.30044700000001</v>
      </c>
      <c r="AH14" s="36">
        <v>191.16543899999999</v>
      </c>
      <c r="AI14" s="36">
        <v>88.384491999999995</v>
      </c>
      <c r="AJ14" s="36">
        <v>94.588865999999996</v>
      </c>
      <c r="AK14" s="37">
        <v>126.01172200000001</v>
      </c>
      <c r="AL14" s="35">
        <v>92.453130999999999</v>
      </c>
      <c r="AM14" s="36">
        <v>104.147131</v>
      </c>
      <c r="AN14" s="36">
        <v>153.729623</v>
      </c>
      <c r="AO14" s="36">
        <v>156.96777900000001</v>
      </c>
      <c r="AP14" s="36">
        <v>205.71868499999999</v>
      </c>
      <c r="AQ14" s="36">
        <v>174.118255</v>
      </c>
      <c r="AR14" s="36">
        <v>170.18563900000001</v>
      </c>
      <c r="AS14" s="36">
        <v>219.78952899999999</v>
      </c>
      <c r="AT14" s="36">
        <v>234.04442599999999</v>
      </c>
      <c r="AU14" s="36">
        <v>223.13958</v>
      </c>
      <c r="AV14" s="36">
        <v>223.80288899999999</v>
      </c>
      <c r="AW14" s="37">
        <v>195.931951</v>
      </c>
      <c r="AX14" s="35">
        <v>168.54999599999999</v>
      </c>
      <c r="AY14" s="36">
        <v>137.08907300000001</v>
      </c>
      <c r="AZ14" s="36">
        <v>168.527861</v>
      </c>
      <c r="BA14" s="36">
        <v>172.097477</v>
      </c>
      <c r="BB14" s="36">
        <v>132.58621600000001</v>
      </c>
      <c r="BC14" s="36">
        <v>150.51569900000001</v>
      </c>
      <c r="BD14" s="36">
        <v>153.83808500000001</v>
      </c>
      <c r="BE14" s="36">
        <v>195.95022800000001</v>
      </c>
      <c r="BF14" s="36">
        <v>194.95700299999999</v>
      </c>
      <c r="BG14" s="36">
        <v>192.65634700000001</v>
      </c>
      <c r="BH14" s="36">
        <v>166.21375699999999</v>
      </c>
      <c r="BI14" s="37">
        <v>215.364451</v>
      </c>
      <c r="BJ14" s="35">
        <v>133.977632</v>
      </c>
      <c r="BK14" s="36">
        <v>113.63152100000001</v>
      </c>
      <c r="BL14" s="36">
        <v>86.392563999999993</v>
      </c>
      <c r="BM14" s="36">
        <f>126398166/1000000</f>
        <v>126.398166</v>
      </c>
      <c r="BN14" s="36">
        <f>163267955/1000000</f>
        <v>163.267955</v>
      </c>
      <c r="BO14" s="36">
        <f>242615201/1000000</f>
        <v>242.61520100000001</v>
      </c>
      <c r="BP14" s="36">
        <f>200910754/1000000</f>
        <v>200.910754</v>
      </c>
      <c r="BQ14" s="36">
        <f>186156837/1000000</f>
        <v>186.156837</v>
      </c>
      <c r="BR14" s="36">
        <f>147938231/1000000</f>
        <v>147.938231</v>
      </c>
      <c r="BS14" s="36">
        <f>182989727/1000000</f>
        <v>182.98972699999999</v>
      </c>
      <c r="BT14" s="36">
        <f>148329576/1000000</f>
        <v>148.329576</v>
      </c>
      <c r="BU14" s="37">
        <f>211920313/1000000</f>
        <v>211.92031299999999</v>
      </c>
      <c r="BV14" s="35">
        <f>165492583/1000000</f>
        <v>165.492583</v>
      </c>
      <c r="BW14" s="36">
        <f>102136071/1000000</f>
        <v>102.136071</v>
      </c>
      <c r="BX14" s="36">
        <f>121151742/1000000</f>
        <v>121.151742</v>
      </c>
      <c r="BY14" s="36">
        <f>107543848/1000000</f>
        <v>107.543848</v>
      </c>
      <c r="BZ14" s="36">
        <f>144021793/1000000</f>
        <v>144.021793</v>
      </c>
      <c r="CA14" s="36">
        <f>105013928/1000000</f>
        <v>105.01392800000001</v>
      </c>
      <c r="CB14" s="36">
        <f>91218528/1000000</f>
        <v>91.218528000000006</v>
      </c>
      <c r="CC14" s="36">
        <v>103.739862</v>
      </c>
      <c r="CD14" s="36">
        <f>104407711/1000000</f>
        <v>104.40771100000001</v>
      </c>
      <c r="CE14" s="36">
        <f>81218411/1000000</f>
        <v>81.218411000000003</v>
      </c>
      <c r="CF14" s="36">
        <v>117.99201499999999</v>
      </c>
      <c r="CG14" s="37">
        <f>178302301/1000000</f>
        <v>178.302301</v>
      </c>
      <c r="CH14" s="35">
        <v>97.986140000000006</v>
      </c>
      <c r="CI14" s="36">
        <v>89.428011999999995</v>
      </c>
      <c r="CJ14" s="36">
        <v>95.357585999999998</v>
      </c>
      <c r="CK14" s="36">
        <v>97.415763999999996</v>
      </c>
      <c r="CL14" s="36">
        <v>111.829368</v>
      </c>
      <c r="CM14" s="36">
        <v>101.05091</v>
      </c>
      <c r="CN14" s="36">
        <v>104.021472</v>
      </c>
      <c r="CO14" s="36">
        <v>171.975177</v>
      </c>
      <c r="CP14" s="36">
        <v>100.368932</v>
      </c>
      <c r="CQ14" s="36">
        <v>90.100182000000004</v>
      </c>
      <c r="CR14" s="36">
        <v>227.716544</v>
      </c>
      <c r="CS14" s="37">
        <v>93.846048999999994</v>
      </c>
      <c r="CT14" s="35">
        <v>108.272766</v>
      </c>
      <c r="CU14" s="36">
        <v>92.847882999999996</v>
      </c>
      <c r="CV14" s="36">
        <v>95.368990999999994</v>
      </c>
      <c r="CW14" s="36">
        <v>108.686965</v>
      </c>
      <c r="CX14" s="36">
        <v>82.062006999999994</v>
      </c>
      <c r="CY14" s="36">
        <v>105.94977400000001</v>
      </c>
      <c r="CZ14" s="36">
        <v>113.481373</v>
      </c>
      <c r="DA14" s="36">
        <v>82.440995000000001</v>
      </c>
      <c r="DB14" s="36">
        <v>96.311346999999998</v>
      </c>
      <c r="DC14" s="36">
        <v>109.90698999999999</v>
      </c>
      <c r="DD14" s="36">
        <v>126.88167199999999</v>
      </c>
      <c r="DE14" s="37">
        <v>74.292814000000007</v>
      </c>
      <c r="DF14" s="35">
        <v>79.703361999999998</v>
      </c>
      <c r="DG14" s="36">
        <v>66.460989999999995</v>
      </c>
      <c r="DH14" s="36">
        <v>91.517916</v>
      </c>
      <c r="DI14" s="36">
        <v>67.635281000000006</v>
      </c>
      <c r="DJ14" s="36">
        <v>84.053210000000007</v>
      </c>
      <c r="DK14" s="36">
        <v>73.783666999999994</v>
      </c>
      <c r="DL14" s="41">
        <v>90.575072000000006</v>
      </c>
      <c r="DM14" s="41">
        <v>83.528812000000002</v>
      </c>
      <c r="DN14" s="36">
        <v>95.404674</v>
      </c>
      <c r="DO14" s="36">
        <v>86.175819000000004</v>
      </c>
      <c r="DP14" s="36">
        <v>81.197233999999995</v>
      </c>
      <c r="DQ14" s="37">
        <v>136.58662699999999</v>
      </c>
      <c r="DR14" s="35">
        <v>65.472408999999999</v>
      </c>
      <c r="DS14" s="36">
        <v>58.558942000000002</v>
      </c>
      <c r="DT14" s="36">
        <v>71.472696999999997</v>
      </c>
      <c r="DU14" s="36">
        <v>92.144712999999996</v>
      </c>
      <c r="DV14" s="36">
        <v>75.348325000000003</v>
      </c>
      <c r="DW14" s="48" t="s">
        <v>51</v>
      </c>
      <c r="DX14" s="48" t="s">
        <v>51</v>
      </c>
      <c r="DY14" s="48">
        <v>109.881046</v>
      </c>
      <c r="DZ14" s="48">
        <v>78.430676000000005</v>
      </c>
      <c r="EA14" s="37">
        <v>74.365945999999994</v>
      </c>
    </row>
    <row r="15" spans="1:133" ht="15" x14ac:dyDescent="0.2">
      <c r="A15" s="8" t="s">
        <v>10</v>
      </c>
      <c r="B15" s="35">
        <v>32.452536000000002</v>
      </c>
      <c r="C15" s="36">
        <v>26.756775999999999</v>
      </c>
      <c r="D15" s="36">
        <v>22.492438</v>
      </c>
      <c r="E15" s="36">
        <v>31.452812999999999</v>
      </c>
      <c r="F15" s="36">
        <v>35.264851</v>
      </c>
      <c r="G15" s="36">
        <v>38.876555000000003</v>
      </c>
      <c r="H15" s="36">
        <v>33.058036999999999</v>
      </c>
      <c r="I15" s="36">
        <v>28.494143000000001</v>
      </c>
      <c r="J15" s="36">
        <v>29.719058</v>
      </c>
      <c r="K15" s="36">
        <v>33.044898000000003</v>
      </c>
      <c r="L15" s="36">
        <v>33.751398999999999</v>
      </c>
      <c r="M15" s="37">
        <v>35.962221</v>
      </c>
      <c r="N15" s="35">
        <v>25.848279999999999</v>
      </c>
      <c r="O15" s="36">
        <v>28.159801000000002</v>
      </c>
      <c r="P15" s="36">
        <v>25.281257</v>
      </c>
      <c r="Q15" s="36">
        <v>30.898951</v>
      </c>
      <c r="R15" s="36">
        <v>32.929310000000001</v>
      </c>
      <c r="S15" s="36">
        <v>32.693671000000002</v>
      </c>
      <c r="T15" s="36">
        <v>23.296184</v>
      </c>
      <c r="U15" s="36">
        <v>28.17548</v>
      </c>
      <c r="V15" s="36">
        <v>21.915018</v>
      </c>
      <c r="W15" s="36">
        <v>30.429939000000001</v>
      </c>
      <c r="X15" s="36">
        <v>30.265668999999999</v>
      </c>
      <c r="Y15" s="37">
        <v>33.444552999999999</v>
      </c>
      <c r="Z15" s="35">
        <v>26.370242999999999</v>
      </c>
      <c r="AA15" s="36">
        <v>21.338438</v>
      </c>
      <c r="AB15" s="36">
        <v>53.681524000000003</v>
      </c>
      <c r="AC15" s="36">
        <v>30.772586</v>
      </c>
      <c r="AD15" s="36">
        <v>37.610883999999999</v>
      </c>
      <c r="AE15" s="36">
        <v>25.838383</v>
      </c>
      <c r="AF15" s="36">
        <v>22.350971999999999</v>
      </c>
      <c r="AG15" s="36">
        <v>22.482251000000002</v>
      </c>
      <c r="AH15" s="36">
        <v>21.598538000000001</v>
      </c>
      <c r="AI15" s="36">
        <v>29.144390000000001</v>
      </c>
      <c r="AJ15" s="36">
        <v>31.959128</v>
      </c>
      <c r="AK15" s="37">
        <v>28.299620000000001</v>
      </c>
      <c r="AL15" s="35">
        <v>28.348479999999999</v>
      </c>
      <c r="AM15" s="36">
        <v>20.818591999999999</v>
      </c>
      <c r="AN15" s="36">
        <v>26.070298000000001</v>
      </c>
      <c r="AO15" s="36">
        <v>27.249168999999998</v>
      </c>
      <c r="AP15" s="36">
        <v>36.972279</v>
      </c>
      <c r="AQ15" s="36">
        <v>27.795756999999998</v>
      </c>
      <c r="AR15" s="36">
        <v>22.284513</v>
      </c>
      <c r="AS15" s="36">
        <v>34.545811999999998</v>
      </c>
      <c r="AT15" s="36">
        <v>29.196683</v>
      </c>
      <c r="AU15" s="36">
        <v>43.111058999999997</v>
      </c>
      <c r="AV15" s="36">
        <v>55.289113999999998</v>
      </c>
      <c r="AW15" s="37">
        <v>44.286544999999997</v>
      </c>
      <c r="AX15" s="35">
        <v>34.149237999999997</v>
      </c>
      <c r="AY15" s="36">
        <v>26.756285999999999</v>
      </c>
      <c r="AZ15" s="36">
        <v>24.252223000000001</v>
      </c>
      <c r="BA15" s="36">
        <v>36.763778000000002</v>
      </c>
      <c r="BB15" s="36">
        <v>37.693680000000001</v>
      </c>
      <c r="BC15" s="36">
        <v>23.884952999999999</v>
      </c>
      <c r="BD15" s="36">
        <v>32.540582000000001</v>
      </c>
      <c r="BE15" s="36">
        <v>27.133600000000001</v>
      </c>
      <c r="BF15" s="36">
        <v>34.553117999999998</v>
      </c>
      <c r="BG15" s="36">
        <v>33.292662</v>
      </c>
      <c r="BH15" s="36">
        <v>36.279457999999998</v>
      </c>
      <c r="BI15" s="37">
        <v>32.434496000000003</v>
      </c>
      <c r="BJ15" s="35">
        <v>35.697054000000001</v>
      </c>
      <c r="BK15" s="36">
        <v>20.263531</v>
      </c>
      <c r="BL15" s="36">
        <v>23.423078</v>
      </c>
      <c r="BM15" s="36">
        <f>25591383/1000000</f>
        <v>25.591383</v>
      </c>
      <c r="BN15" s="36">
        <f>28222770/1000000</f>
        <v>28.222770000000001</v>
      </c>
      <c r="BO15" s="36">
        <f>28927863/1000000</f>
        <v>28.927862999999999</v>
      </c>
      <c r="BP15" s="36">
        <f>32096311/1000000</f>
        <v>32.096311</v>
      </c>
      <c r="BQ15" s="36">
        <f>39630013/1000000</f>
        <v>39.630012999999998</v>
      </c>
      <c r="BR15" s="36">
        <f>38166676/1000000</f>
        <v>38.166676000000002</v>
      </c>
      <c r="BS15" s="36">
        <f>36186475/1000000</f>
        <v>36.186475000000002</v>
      </c>
      <c r="BT15" s="36">
        <f>40506735/1000000</f>
        <v>40.506734999999999</v>
      </c>
      <c r="BU15" s="37">
        <f>56063618/1000000</f>
        <v>56.063617999999998</v>
      </c>
      <c r="BV15" s="35">
        <f>35328387/1000000</f>
        <v>35.328386999999999</v>
      </c>
      <c r="BW15" s="36">
        <f>33327759/1000000</f>
        <v>33.327759</v>
      </c>
      <c r="BX15" s="36">
        <f>30613344/1000000</f>
        <v>30.613344000000001</v>
      </c>
      <c r="BY15" s="36">
        <f>40193567/1000000</f>
        <v>40.193567000000002</v>
      </c>
      <c r="BZ15" s="36">
        <f>30670527/1000000</f>
        <v>30.670527</v>
      </c>
      <c r="CA15" s="36">
        <f>26277474/1000000</f>
        <v>26.277474000000002</v>
      </c>
      <c r="CB15" s="36">
        <f>73120039/1000000</f>
        <v>73.120039000000006</v>
      </c>
      <c r="CC15" s="36">
        <f>27380078/1000000</f>
        <v>27.380078000000001</v>
      </c>
      <c r="CD15" s="36">
        <f>30901416/1000000</f>
        <v>30.901416000000001</v>
      </c>
      <c r="CE15" s="36">
        <f>27567997/1000000</f>
        <v>27.567996999999998</v>
      </c>
      <c r="CF15" s="36">
        <f>32106853/1000000</f>
        <v>32.106853000000001</v>
      </c>
      <c r="CG15" s="37">
        <f>38445529/1000000</f>
        <v>38.445529000000001</v>
      </c>
      <c r="CH15" s="35">
        <v>36.364739</v>
      </c>
      <c r="CI15" s="36">
        <v>27.865981000000001</v>
      </c>
      <c r="CJ15" s="36">
        <v>44.925376999999997</v>
      </c>
      <c r="CK15" s="36">
        <v>39.451974999999997</v>
      </c>
      <c r="CL15" s="36">
        <v>34.767637999999998</v>
      </c>
      <c r="CM15" s="36">
        <v>32.800333999999999</v>
      </c>
      <c r="CN15" s="36">
        <v>33.835943999999998</v>
      </c>
      <c r="CO15" s="36">
        <v>36.313780000000001</v>
      </c>
      <c r="CP15" s="36">
        <v>34.685200000000002</v>
      </c>
      <c r="CQ15" s="36">
        <v>34.072184999999998</v>
      </c>
      <c r="CR15" s="36">
        <v>34.682195999999998</v>
      </c>
      <c r="CS15" s="37">
        <v>31.668790999999999</v>
      </c>
      <c r="CT15" s="35">
        <v>27.814592000000001</v>
      </c>
      <c r="CU15" s="36">
        <v>29.957083000000001</v>
      </c>
      <c r="CV15" s="36">
        <v>38.881889000000001</v>
      </c>
      <c r="CW15" s="36">
        <v>31.740228999999999</v>
      </c>
      <c r="CX15" s="36">
        <v>26.240532999999999</v>
      </c>
      <c r="CY15" s="36">
        <v>25.933326999999998</v>
      </c>
      <c r="CZ15" s="36">
        <v>28.484300000000001</v>
      </c>
      <c r="DA15" s="36">
        <v>30.411764999999999</v>
      </c>
      <c r="DB15" s="36">
        <v>27.256536000000001</v>
      </c>
      <c r="DC15" s="36">
        <v>31.253343000000001</v>
      </c>
      <c r="DD15" s="36">
        <v>30.667566000000001</v>
      </c>
      <c r="DE15" s="37">
        <v>29.147822999999999</v>
      </c>
      <c r="DF15" s="35">
        <v>32.682077999999997</v>
      </c>
      <c r="DG15" s="36">
        <v>27.75168</v>
      </c>
      <c r="DH15" s="36">
        <v>30.944078999999999</v>
      </c>
      <c r="DI15" s="36">
        <v>25.939703999999999</v>
      </c>
      <c r="DJ15" s="36">
        <v>23.815722999999998</v>
      </c>
      <c r="DK15" s="36">
        <v>26.062743999999999</v>
      </c>
      <c r="DL15" s="41">
        <v>31.296099999999999</v>
      </c>
      <c r="DM15" s="41">
        <v>38.174894000000002</v>
      </c>
      <c r="DN15" s="36">
        <v>58.685344000000001</v>
      </c>
      <c r="DO15" s="36">
        <v>29.556206</v>
      </c>
      <c r="DP15" s="36">
        <v>29.064928999999999</v>
      </c>
      <c r="DQ15" s="37">
        <v>31.557209</v>
      </c>
      <c r="DR15" s="35">
        <v>26.630690999999999</v>
      </c>
      <c r="DS15" s="36">
        <v>23.063431999999999</v>
      </c>
      <c r="DT15" s="36">
        <v>31.270689000000001</v>
      </c>
      <c r="DU15" s="36">
        <v>20.116548000000002</v>
      </c>
      <c r="DV15" s="36">
        <v>22.990316</v>
      </c>
      <c r="DW15" s="48" t="s">
        <v>51</v>
      </c>
      <c r="DX15" s="48" t="s">
        <v>51</v>
      </c>
      <c r="DY15" s="48">
        <v>24.222823999999999</v>
      </c>
      <c r="DZ15" s="48">
        <v>52.901076000000003</v>
      </c>
      <c r="EA15" s="37">
        <v>43.558979000000001</v>
      </c>
    </row>
    <row r="16" spans="1:133" ht="15" x14ac:dyDescent="0.2">
      <c r="A16" s="9" t="s">
        <v>11</v>
      </c>
      <c r="B16" s="38">
        <v>1.957333</v>
      </c>
      <c r="C16" s="39">
        <v>0.97572800000000004</v>
      </c>
      <c r="D16" s="39">
        <v>1.4731590000000001</v>
      </c>
      <c r="E16" s="39">
        <v>1.0490010000000001</v>
      </c>
      <c r="F16" s="39">
        <v>0.744425</v>
      </c>
      <c r="G16" s="39">
        <v>1.4248959999999999</v>
      </c>
      <c r="H16" s="39">
        <v>1.0606930000000001</v>
      </c>
      <c r="I16" s="39">
        <v>1.336293</v>
      </c>
      <c r="J16" s="39">
        <v>1.731789</v>
      </c>
      <c r="K16" s="39">
        <v>0.74482099999999996</v>
      </c>
      <c r="L16" s="39">
        <v>1.47766</v>
      </c>
      <c r="M16" s="40">
        <v>1.095831</v>
      </c>
      <c r="N16" s="38">
        <v>1.101685</v>
      </c>
      <c r="O16" s="39">
        <v>0.44110300000000002</v>
      </c>
      <c r="P16" s="39">
        <v>0.98161799999999999</v>
      </c>
      <c r="Q16" s="39">
        <v>0.54028200000000004</v>
      </c>
      <c r="R16" s="39">
        <v>0.79352500000000004</v>
      </c>
      <c r="S16" s="39">
        <v>0.618398</v>
      </c>
      <c r="T16" s="39">
        <v>1.4617089999999999</v>
      </c>
      <c r="U16" s="39">
        <v>2.0491220000000001</v>
      </c>
      <c r="V16" s="39">
        <v>1.5165900000000001</v>
      </c>
      <c r="W16" s="39">
        <v>1.552619</v>
      </c>
      <c r="X16" s="39">
        <v>0.85121800000000003</v>
      </c>
      <c r="Y16" s="40">
        <v>1.1833</v>
      </c>
      <c r="Z16" s="38">
        <v>2.0197039999999999</v>
      </c>
      <c r="AA16" s="39">
        <v>0.871174</v>
      </c>
      <c r="AB16" s="39">
        <v>4.254918</v>
      </c>
      <c r="AC16" s="39">
        <v>1.416558</v>
      </c>
      <c r="AD16" s="39">
        <v>0.72097900000000004</v>
      </c>
      <c r="AE16" s="39">
        <v>0.93945500000000004</v>
      </c>
      <c r="AF16" s="39">
        <v>2.293949</v>
      </c>
      <c r="AG16" s="39">
        <v>1.7058899999999999</v>
      </c>
      <c r="AH16" s="39">
        <v>1.966823</v>
      </c>
      <c r="AI16" s="39">
        <v>1.301337</v>
      </c>
      <c r="AJ16" s="39">
        <v>1.566101</v>
      </c>
      <c r="AK16" s="40">
        <v>0.66315599999999997</v>
      </c>
      <c r="AL16" s="38">
        <v>1.169119</v>
      </c>
      <c r="AM16" s="39">
        <v>0.57338199999999995</v>
      </c>
      <c r="AN16" s="39">
        <v>0.671933</v>
      </c>
      <c r="AO16" s="39">
        <v>0.43772100000000003</v>
      </c>
      <c r="AP16" s="39">
        <v>0.62353199999999998</v>
      </c>
      <c r="AQ16" s="39">
        <v>0.616456</v>
      </c>
      <c r="AR16" s="39">
        <v>0.70140400000000003</v>
      </c>
      <c r="AS16" s="39">
        <v>1.531525</v>
      </c>
      <c r="AT16" s="39">
        <v>1.3364119999999999</v>
      </c>
      <c r="AU16" s="39">
        <v>0.94684900000000005</v>
      </c>
      <c r="AV16" s="39">
        <v>0.74130399999999996</v>
      </c>
      <c r="AW16" s="40">
        <v>0.70396300000000001</v>
      </c>
      <c r="AX16" s="38">
        <v>0.87768100000000004</v>
      </c>
      <c r="AY16" s="39">
        <v>0.728159</v>
      </c>
      <c r="AZ16" s="39">
        <v>0.80963499999999999</v>
      </c>
      <c r="BA16" s="39">
        <v>0.81333699999999998</v>
      </c>
      <c r="BB16" s="39">
        <v>0.63996500000000001</v>
      </c>
      <c r="BC16" s="39">
        <v>0.67852400000000002</v>
      </c>
      <c r="BD16" s="39">
        <v>2.3917649999999999</v>
      </c>
      <c r="BE16" s="39">
        <v>1.4083840000000001</v>
      </c>
      <c r="BF16" s="39">
        <v>0.64880400000000005</v>
      </c>
      <c r="BG16" s="39">
        <v>0.69668600000000003</v>
      </c>
      <c r="BH16" s="39">
        <v>0.36013699999999998</v>
      </c>
      <c r="BI16" s="40">
        <v>5.6557999999999997E-2</v>
      </c>
      <c r="BJ16" s="38">
        <v>0.194244</v>
      </c>
      <c r="BK16" s="39">
        <v>6.3247999999999999E-2</v>
      </c>
      <c r="BL16" s="39">
        <v>3.9522000000000002E-2</v>
      </c>
      <c r="BM16" s="39">
        <f>45938/1000000</f>
        <v>4.5938E-2</v>
      </c>
      <c r="BN16" s="39">
        <f>144278/1000000</f>
        <v>0.14427799999999999</v>
      </c>
      <c r="BO16" s="39">
        <f>89225/1000000</f>
        <v>8.9224999999999999E-2</v>
      </c>
      <c r="BP16" s="39">
        <f>56887/1000000</f>
        <v>5.6887E-2</v>
      </c>
      <c r="BQ16" s="39">
        <f>148018/1000000</f>
        <v>0.14801800000000001</v>
      </c>
      <c r="BR16" s="39">
        <f>461610/1000000</f>
        <v>0.46161000000000002</v>
      </c>
      <c r="BS16" s="39">
        <f>75942/1000000</f>
        <v>7.5941999999999996E-2</v>
      </c>
      <c r="BT16" s="39">
        <f>143405/1000000</f>
        <v>0.143405</v>
      </c>
      <c r="BU16" s="40">
        <f>121355/1000000</f>
        <v>0.121355</v>
      </c>
      <c r="BV16" s="38">
        <f>203886/1000000</f>
        <v>0.20388600000000001</v>
      </c>
      <c r="BW16" s="39">
        <f>189044/1000000</f>
        <v>0.18904399999999999</v>
      </c>
      <c r="BX16" s="39">
        <f>93242/1000000</f>
        <v>9.3242000000000005E-2</v>
      </c>
      <c r="BY16" s="39">
        <f>532312/1000000</f>
        <v>0.53231200000000001</v>
      </c>
      <c r="BZ16" s="39">
        <f>254962/1000000</f>
        <v>0.25496200000000002</v>
      </c>
      <c r="CA16" s="39">
        <f>593318/1000000</f>
        <v>0.59331800000000001</v>
      </c>
      <c r="CB16" s="39">
        <f>822306/1000000</f>
        <v>0.82230599999999998</v>
      </c>
      <c r="CC16" s="39">
        <f>727421/1000000</f>
        <v>0.72742099999999998</v>
      </c>
      <c r="CD16" s="39">
        <f>112475/1000000</f>
        <v>0.11247500000000001</v>
      </c>
      <c r="CE16" s="39">
        <f>188963/1000000</f>
        <v>0.18896299999999999</v>
      </c>
      <c r="CF16" s="39">
        <f>1330482/1000000</f>
        <v>1.3304819999999999</v>
      </c>
      <c r="CG16" s="40">
        <f>1720829/1000000</f>
        <v>1.7208289999999999</v>
      </c>
      <c r="CH16" s="38">
        <v>0.47441899999999998</v>
      </c>
      <c r="CI16" s="39">
        <v>0.343532</v>
      </c>
      <c r="CJ16" s="39">
        <v>1.337944</v>
      </c>
      <c r="CK16" s="39">
        <v>0.855487</v>
      </c>
      <c r="CL16" s="39">
        <v>0.92588099999999995</v>
      </c>
      <c r="CM16" s="39">
        <v>1.7157020000000001</v>
      </c>
      <c r="CN16" s="39">
        <v>0.67422199999999999</v>
      </c>
      <c r="CO16" s="39">
        <v>1.7940370000000001</v>
      </c>
      <c r="CP16" s="39">
        <v>2.0657480000000001</v>
      </c>
      <c r="CQ16" s="39">
        <v>0.85865999999999998</v>
      </c>
      <c r="CR16" s="39">
        <v>1.6731199999999999</v>
      </c>
      <c r="CS16" s="40">
        <v>1.9106030000000001</v>
      </c>
      <c r="CT16" s="38">
        <v>1.4664740000000001</v>
      </c>
      <c r="CU16" s="39">
        <v>0.85936699999999999</v>
      </c>
      <c r="CV16" s="39">
        <v>1.5260899999999999</v>
      </c>
      <c r="CW16" s="39">
        <v>0.560701</v>
      </c>
      <c r="CX16" s="39">
        <v>1.811949</v>
      </c>
      <c r="CY16" s="39">
        <v>1.6761170000000001</v>
      </c>
      <c r="CZ16" s="39">
        <v>0.72557000000000005</v>
      </c>
      <c r="DA16" s="39">
        <v>1.2211669999999999</v>
      </c>
      <c r="DB16" s="39">
        <v>1.359747</v>
      </c>
      <c r="DC16" s="39">
        <v>1.2754620000000001</v>
      </c>
      <c r="DD16" s="39">
        <v>0.59162499999999996</v>
      </c>
      <c r="DE16" s="40">
        <v>1.2838639999999999</v>
      </c>
      <c r="DF16" s="38">
        <v>0.68408199999999997</v>
      </c>
      <c r="DG16" s="39">
        <v>0.55382200000000004</v>
      </c>
      <c r="DH16" s="39">
        <v>1.608994</v>
      </c>
      <c r="DI16" s="39">
        <v>0.82623599999999997</v>
      </c>
      <c r="DJ16" s="39">
        <v>1.1405529999999999</v>
      </c>
      <c r="DK16" s="39">
        <v>0.774725</v>
      </c>
      <c r="DL16" s="43">
        <v>1.062786</v>
      </c>
      <c r="DM16" s="43">
        <v>1.3271230000000001</v>
      </c>
      <c r="DN16" s="39">
        <v>0.94604699999999997</v>
      </c>
      <c r="DO16" s="39">
        <v>0.82194</v>
      </c>
      <c r="DP16" s="39">
        <v>0.88348099999999996</v>
      </c>
      <c r="DQ16" s="40">
        <v>0.60733199999999998</v>
      </c>
      <c r="DR16" s="38">
        <v>0.45570100000000002</v>
      </c>
      <c r="DS16" s="39">
        <v>0.80856600000000001</v>
      </c>
      <c r="DT16" s="39">
        <v>0.63141099999999994</v>
      </c>
      <c r="DU16" s="39">
        <v>0.94318999999999997</v>
      </c>
      <c r="DV16" s="39">
        <v>0.34953600000000001</v>
      </c>
      <c r="DW16" s="49" t="s">
        <v>51</v>
      </c>
      <c r="DX16" s="49" t="s">
        <v>51</v>
      </c>
      <c r="DY16" s="49">
        <v>0.51920200000000005</v>
      </c>
      <c r="DZ16" s="49">
        <v>0.74969699999999995</v>
      </c>
      <c r="EA16" s="40">
        <v>1.2896730000000001</v>
      </c>
    </row>
    <row r="17" spans="1:142" x14ac:dyDescent="0.25">
      <c r="BS17" s="22"/>
      <c r="BT17" s="22"/>
      <c r="BU17" s="22"/>
      <c r="BV17" s="22"/>
      <c r="BW17" s="22"/>
      <c r="CD17" s="26"/>
      <c r="CE17" s="26"/>
      <c r="CF17" s="26"/>
      <c r="DC17" s="27"/>
      <c r="DD17" s="27"/>
    </row>
    <row r="18" spans="1:142" x14ac:dyDescent="0.25">
      <c r="A18" s="1" t="s">
        <v>25</v>
      </c>
    </row>
    <row r="19" spans="1:142" x14ac:dyDescent="0.25">
      <c r="A19" s="1" t="s">
        <v>50</v>
      </c>
      <c r="CH19" s="23"/>
    </row>
    <row r="20" spans="1:142" x14ac:dyDescent="0.25">
      <c r="CH20" s="23"/>
    </row>
    <row r="21" spans="1:142" x14ac:dyDescent="0.25">
      <c r="A21" s="50" t="s">
        <v>27</v>
      </c>
      <c r="CH21" s="23"/>
      <c r="DO21" s="22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</row>
    <row r="22" spans="1:142" x14ac:dyDescent="0.25">
      <c r="A22" s="50" t="s">
        <v>28</v>
      </c>
      <c r="CH22" s="23"/>
      <c r="DO22" s="22"/>
      <c r="DP22" s="22"/>
      <c r="DQ22" s="22"/>
      <c r="EA22" s="22"/>
    </row>
    <row r="23" spans="1:142" x14ac:dyDescent="0.25">
      <c r="A23" s="50" t="s">
        <v>52</v>
      </c>
      <c r="CH23" s="23"/>
      <c r="DN23" s="45"/>
      <c r="DO23" s="22"/>
      <c r="EA23" s="22"/>
      <c r="EB23" s="27"/>
    </row>
    <row r="24" spans="1:142" x14ac:dyDescent="0.25">
      <c r="A24" s="50" t="s">
        <v>53</v>
      </c>
      <c r="CH24" s="23"/>
      <c r="DN24" s="45"/>
      <c r="DO24" s="22"/>
      <c r="DS24" s="46"/>
      <c r="DT24" s="46"/>
      <c r="DU24" s="46"/>
      <c r="DV24" s="46"/>
      <c r="DW24" s="46"/>
      <c r="DX24" s="46"/>
      <c r="DY24" s="46"/>
      <c r="DZ24" s="46"/>
      <c r="EA24" s="22"/>
      <c r="EB24" s="27"/>
    </row>
    <row r="25" spans="1:142" x14ac:dyDescent="0.25">
      <c r="CH25" s="23"/>
      <c r="DL25" s="42"/>
      <c r="DN25" s="45"/>
      <c r="DO25" s="22"/>
      <c r="DS25" s="46"/>
      <c r="DT25" s="46"/>
      <c r="DU25" s="46"/>
      <c r="DV25" s="46"/>
      <c r="DW25" s="46"/>
      <c r="DX25" s="46"/>
      <c r="DY25" s="46"/>
      <c r="DZ25" s="46"/>
      <c r="EA25" s="22"/>
    </row>
    <row r="26" spans="1:142" x14ac:dyDescent="0.25">
      <c r="CH26" s="23"/>
      <c r="DL26" s="41"/>
      <c r="DN26" s="45"/>
      <c r="DO26" s="22"/>
      <c r="DR26" s="22"/>
      <c r="DS26" s="46"/>
      <c r="DT26" s="46"/>
      <c r="DU26" s="46"/>
      <c r="DV26" s="46"/>
      <c r="DW26" s="46"/>
      <c r="DX26" s="46"/>
      <c r="DY26" s="46"/>
      <c r="DZ26" s="46"/>
      <c r="EA26" s="22"/>
    </row>
    <row r="27" spans="1:142" x14ac:dyDescent="0.25">
      <c r="CH27" s="23"/>
      <c r="DL27" s="44"/>
      <c r="DN27" s="45"/>
      <c r="DO27" s="22"/>
      <c r="DP27" s="44"/>
      <c r="DQ27" s="44"/>
      <c r="DR27" s="27"/>
      <c r="DS27" s="46"/>
      <c r="DT27" s="46"/>
      <c r="DU27" s="46"/>
      <c r="DV27" s="46"/>
      <c r="DW27" s="46"/>
      <c r="DX27" s="46"/>
      <c r="DY27" s="46"/>
      <c r="DZ27" s="46"/>
      <c r="EA27" s="22"/>
    </row>
    <row r="28" spans="1:142" x14ac:dyDescent="0.25">
      <c r="CH28" s="23"/>
      <c r="DM28" s="41"/>
      <c r="DN28" s="45"/>
      <c r="DO28" s="22"/>
      <c r="DQ28" s="36"/>
      <c r="DS28" s="46"/>
      <c r="DT28" s="46"/>
      <c r="DU28" s="46"/>
      <c r="DV28" s="46"/>
      <c r="DW28" s="46"/>
      <c r="DX28" s="46"/>
      <c r="DY28" s="46"/>
      <c r="DZ28" s="46"/>
      <c r="EA28" s="22"/>
    </row>
    <row r="29" spans="1:142" x14ac:dyDescent="0.25">
      <c r="CH29" s="23"/>
      <c r="DM29" s="41"/>
      <c r="DN29" s="45"/>
      <c r="DO29" s="22"/>
      <c r="DQ29" s="36"/>
      <c r="DS29" s="46"/>
      <c r="DT29" s="46"/>
      <c r="DU29" s="46"/>
      <c r="DV29" s="46"/>
      <c r="DW29" s="46"/>
      <c r="DX29" s="46"/>
      <c r="DY29" s="46"/>
      <c r="DZ29" s="46"/>
      <c r="EA29" s="22"/>
    </row>
    <row r="30" spans="1:142" x14ac:dyDescent="0.25">
      <c r="DM30" s="41"/>
      <c r="DN30" s="45"/>
      <c r="DO30" s="22"/>
      <c r="DQ30" s="36"/>
      <c r="DS30" s="46"/>
      <c r="DT30" s="46"/>
      <c r="DU30" s="46"/>
      <c r="DV30" s="46"/>
      <c r="DW30" s="46"/>
      <c r="DX30" s="46"/>
      <c r="DY30" s="46"/>
      <c r="DZ30" s="46"/>
      <c r="EA30" s="22"/>
    </row>
    <row r="31" spans="1:142" x14ac:dyDescent="0.25">
      <c r="DM31" s="41"/>
      <c r="DN31" s="45"/>
      <c r="DO31" s="22"/>
      <c r="DP31" s="41"/>
      <c r="DQ31" s="36"/>
      <c r="DS31" s="46"/>
      <c r="DT31" s="46"/>
      <c r="DU31" s="46"/>
      <c r="DV31" s="46"/>
      <c r="DW31" s="46"/>
      <c r="DX31" s="46"/>
      <c r="DY31" s="46"/>
      <c r="DZ31" s="46"/>
      <c r="EA31" s="22"/>
    </row>
    <row r="32" spans="1:142" x14ac:dyDescent="0.25">
      <c r="DM32" s="41"/>
      <c r="DN32" s="45"/>
      <c r="DO32" s="22"/>
      <c r="DP32" s="41"/>
      <c r="DQ32" s="36"/>
      <c r="DS32" s="46"/>
      <c r="DT32" s="46"/>
      <c r="DU32" s="46"/>
      <c r="DV32" s="46"/>
      <c r="DW32" s="46"/>
      <c r="DX32" s="46"/>
      <c r="DY32" s="46"/>
      <c r="DZ32" s="46"/>
      <c r="EA32" s="22"/>
    </row>
    <row r="33" spans="109:130" x14ac:dyDescent="0.25">
      <c r="DM33" s="41"/>
      <c r="DN33" s="45"/>
      <c r="DO33" s="22"/>
      <c r="DP33" s="41"/>
      <c r="DQ33" s="36"/>
      <c r="DS33" s="46"/>
      <c r="DT33" s="46"/>
      <c r="DU33" s="46"/>
      <c r="DV33" s="46"/>
      <c r="DW33" s="46"/>
      <c r="DX33" s="46"/>
      <c r="DY33" s="46"/>
      <c r="DZ33" s="46"/>
    </row>
    <row r="34" spans="109:130" x14ac:dyDescent="0.25">
      <c r="DO34" s="22"/>
      <c r="DP34" s="41"/>
      <c r="DQ34" s="36"/>
      <c r="DS34" s="46"/>
      <c r="DT34" s="46"/>
      <c r="DU34" s="46"/>
      <c r="DV34" s="46"/>
      <c r="DW34" s="46"/>
      <c r="DX34" s="46"/>
      <c r="DY34" s="46"/>
      <c r="DZ34" s="46"/>
    </row>
    <row r="40" spans="109:130" x14ac:dyDescent="0.25">
      <c r="DH40" s="42"/>
    </row>
    <row r="41" spans="109:130" x14ac:dyDescent="0.25">
      <c r="DK41" s="41"/>
      <c r="DN41" s="41"/>
    </row>
    <row r="42" spans="109:130" x14ac:dyDescent="0.25">
      <c r="DH42" s="45"/>
      <c r="DK42" s="45"/>
      <c r="DN42" s="45"/>
    </row>
    <row r="43" spans="109:130" x14ac:dyDescent="0.25">
      <c r="DE43" s="22"/>
      <c r="DH43" s="22"/>
      <c r="DK43" s="22"/>
      <c r="DN43" s="22"/>
    </row>
    <row r="44" spans="109:130" x14ac:dyDescent="0.25">
      <c r="DE44" s="22"/>
      <c r="DN44" s="41"/>
    </row>
    <row r="45" spans="109:130" x14ac:dyDescent="0.25">
      <c r="DE45" s="22"/>
      <c r="DF45" s="47"/>
      <c r="DK45" s="36"/>
      <c r="DL45" s="47"/>
      <c r="DN45" s="36"/>
    </row>
    <row r="52" spans="110:119" x14ac:dyDescent="0.25">
      <c r="DI52" s="41"/>
    </row>
    <row r="53" spans="110:119" x14ac:dyDescent="0.25">
      <c r="DL53" s="41"/>
      <c r="DO53" s="41"/>
    </row>
    <row r="54" spans="110:119" x14ac:dyDescent="0.25">
      <c r="DF54" s="45"/>
      <c r="DI54" s="45"/>
      <c r="DL54" s="45"/>
      <c r="DO54" s="45"/>
    </row>
    <row r="55" spans="110:119" x14ac:dyDescent="0.25">
      <c r="DF55" s="22"/>
      <c r="DI55" s="22"/>
      <c r="DL55" s="22"/>
      <c r="DO55" s="22"/>
    </row>
    <row r="56" spans="110:119" x14ac:dyDescent="0.25">
      <c r="DO56" s="41"/>
    </row>
    <row r="57" spans="110:119" x14ac:dyDescent="0.25">
      <c r="DL57" s="36"/>
      <c r="DO57" s="36"/>
    </row>
    <row r="64" spans="110:119" x14ac:dyDescent="0.25">
      <c r="DJ64" s="44"/>
    </row>
    <row r="65" spans="111:120" x14ac:dyDescent="0.25">
      <c r="DM65" s="41"/>
      <c r="DP65" s="41"/>
    </row>
    <row r="66" spans="111:120" x14ac:dyDescent="0.25">
      <c r="DG66" s="45"/>
      <c r="DJ66" s="45"/>
      <c r="DM66" s="45"/>
      <c r="DP66" s="45"/>
    </row>
    <row r="67" spans="111:120" x14ac:dyDescent="0.25">
      <c r="DG67" s="22"/>
      <c r="DJ67" s="22"/>
      <c r="DM67" s="22"/>
      <c r="DP67" s="22"/>
    </row>
    <row r="68" spans="111:120" x14ac:dyDescent="0.25">
      <c r="DJ68" s="44"/>
      <c r="DP68" s="41"/>
    </row>
    <row r="69" spans="111:120" x14ac:dyDescent="0.25">
      <c r="DJ69" s="44"/>
      <c r="DM69" s="36"/>
      <c r="DP69" s="36"/>
    </row>
  </sheetData>
  <mergeCells count="12">
    <mergeCell ref="DF4:DQ4"/>
    <mergeCell ref="CH4:CS4"/>
    <mergeCell ref="CT4:DE4"/>
    <mergeCell ref="BV4:CG4"/>
    <mergeCell ref="DR4:EA4"/>
    <mergeCell ref="A4:A5"/>
    <mergeCell ref="BJ4:BU4"/>
    <mergeCell ref="AX4:BI4"/>
    <mergeCell ref="B4:M4"/>
    <mergeCell ref="N4:Y4"/>
    <mergeCell ref="Z4:AK4"/>
    <mergeCell ref="AL4:AW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1E1B845F17D4BA76A5D56FE2A752C" ma:contentTypeVersion="2" ma:contentTypeDescription="Create a new document." ma:contentTypeScope="" ma:versionID="83d17377d408f96022ae6a8705b8ad68">
  <xsd:schema xmlns:xsd="http://www.w3.org/2001/XMLSchema" xmlns:xs="http://www.w3.org/2001/XMLSchema" xmlns:p="http://schemas.microsoft.com/office/2006/metadata/properties" xmlns:ns1="http://schemas.microsoft.com/sharepoint/v3" xmlns:ns2="ebce80bc-31f1-456e-bae0-275749261b0a" xmlns:ns3="7f87c9d7-699b-44c5-bfd8-c1d01b466aef" targetNamespace="http://schemas.microsoft.com/office/2006/metadata/properties" ma:root="true" ma:fieldsID="2e3ac6b8da9737f36725a203cb717209" ns1:_="" ns2:_="" ns3:_="">
    <xsd:import namespace="http://schemas.microsoft.com/sharepoint/v3"/>
    <xsd:import namespace="ebce80bc-31f1-456e-bae0-275749261b0a"/>
    <xsd:import namespace="7f87c9d7-699b-44c5-bfd8-c1d01b466ae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e80bc-31f1-456e-bae0-275749261b0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7c9d7-699b-44c5-bfd8-c1d01b466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bce80bc-31f1-456e-bae0-275749261b0a">MKH52Q7RF5JS-1303391851-2421</_dlc_DocId>
    <_dlc_DocIdUrl xmlns="ebce80bc-31f1-456e-bae0-275749261b0a">
      <Url>https://deps.intra.gov.bn/divisions/DOS/_layouts/15/DocIdRedir.aspx?ID=MKH52Q7RF5JS-1303391851-2421</Url>
      <Description>MKH52Q7RF5JS-1303391851-2421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5E0D00-1E2D-4269-BD1F-B836ED1F1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e80bc-31f1-456e-bae0-275749261b0a"/>
    <ds:schemaRef ds:uri="7f87c9d7-699b-44c5-bfd8-c1d01b46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6596EE-293E-450B-99CE-14C00DDB776E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3eb395c1-c26a-485a-a474-2edaaa77b21c"/>
    <ds:schemaRef ds:uri="http://purl.org/dc/terms/"/>
    <ds:schemaRef ds:uri="http://purl.org/dc/elements/1.1/"/>
    <ds:schemaRef ds:uri="ebce80bc-31f1-456e-bae0-275749261b0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1BA4328-0312-460D-8132-3331AE9C093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50BEF51-0728-4A74-A6DE-3770C8D9ED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2019-01-09T06:26:22Z</dcterms:created>
  <dcterms:modified xsi:type="dcterms:W3CDTF">2026-01-05T07:29:55Z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0x0101000541E1B845F17D4BA76A5D56FE2A752C</vt:lpwstr>
  </property>
  <property fmtid="{D5CDD505-2E9C-101B-9397-08002B2CF9AE}" pid="3" name="_dlc_DocIdItemGuid">
    <vt:lpwstr>5f7cc022-2e32-4313-a404-e6bfa644c8ab</vt:lpwstr>
  </property>
</Properties>
</file>