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amirul.mdali\Documents\EDATA\International Merchandise Trade Statistics\Monthly\new Oct 2025\"/>
    </mc:Choice>
  </mc:AlternateContent>
  <xr:revisionPtr revIDLastSave="0" documentId="13_ncr:1_{A4D18129-D22B-4E0D-9293-B512A7D5C65C}" xr6:coauthVersionLast="36" xr6:coauthVersionMax="36" xr10:uidLastSave="{00000000-0000-0000-0000-000000000000}"/>
  <bookViews>
    <workbookView xWindow="0" yWindow="0" windowWidth="28800" windowHeight="12105" activeTab="1" xr2:uid="{00000000-000D-0000-FFFF-FFFF00000000}"/>
  </bookViews>
  <sheets>
    <sheet name="Metadata" sheetId="3" r:id="rId1"/>
    <sheet name="Data" sheetId="2" r:id="rId2"/>
  </sheets>
  <definedNames>
    <definedName name="_xlnm.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T6" i="2" l="1"/>
  <c r="CU6" i="2"/>
  <c r="CV6" i="2"/>
  <c r="CW6" i="2"/>
  <c r="CX6" i="2"/>
  <c r="CY6" i="2"/>
  <c r="CZ6" i="2"/>
  <c r="DA6" i="2"/>
  <c r="DB6" i="2"/>
  <c r="DC6" i="2"/>
  <c r="DD6" i="2"/>
  <c r="DE6" i="2"/>
  <c r="CR6" i="2" l="1"/>
  <c r="CQ6" i="2" l="1"/>
  <c r="CP6" i="2" l="1"/>
  <c r="CO6" i="2" l="1"/>
  <c r="CN6" i="2" l="1"/>
  <c r="CM6" i="2" l="1"/>
  <c r="CL6" i="2" l="1"/>
  <c r="CK6" i="2" l="1"/>
  <c r="CJ11" i="2" l="1"/>
  <c r="CJ9" i="2"/>
  <c r="CJ8" i="2"/>
  <c r="CJ7" i="2"/>
  <c r="CI11" i="2"/>
  <c r="CI9" i="2"/>
  <c r="CI8" i="2"/>
  <c r="CI7" i="2"/>
  <c r="CJ6" i="2" l="1"/>
  <c r="CI6" i="2"/>
  <c r="CH6" i="2" l="1"/>
  <c r="CG16" i="2"/>
  <c r="CG15" i="2"/>
  <c r="CG14" i="2"/>
  <c r="CG13" i="2"/>
  <c r="CG11" i="2"/>
  <c r="CG8" i="2"/>
  <c r="CG7" i="2"/>
  <c r="CG6" i="2" l="1"/>
  <c r="CF16" i="2"/>
  <c r="CF15" i="2"/>
  <c r="CF14" i="2"/>
  <c r="CF13" i="2"/>
  <c r="CF11" i="2"/>
  <c r="CF8" i="2"/>
  <c r="CF7" i="2"/>
  <c r="CF6" i="2" l="1"/>
  <c r="CE8" i="2"/>
  <c r="CE7" i="2"/>
  <c r="CE16" i="2"/>
  <c r="CE15" i="2"/>
  <c r="CE14" i="2"/>
  <c r="CE13" i="2"/>
  <c r="CE11" i="2"/>
  <c r="CD16" i="2"/>
  <c r="CD15" i="2"/>
  <c r="CD14" i="2"/>
  <c r="CD13" i="2"/>
  <c r="CD11" i="2"/>
  <c r="CD8" i="2"/>
  <c r="CD7" i="2"/>
  <c r="CD6" i="2" l="1"/>
  <c r="CE6" i="2"/>
  <c r="CC16" i="2"/>
  <c r="CC15" i="2"/>
  <c r="CC13" i="2"/>
  <c r="CC11" i="2"/>
  <c r="CC8" i="2"/>
  <c r="CC7" i="2"/>
  <c r="CC6" i="2" l="1"/>
  <c r="CB16" i="2"/>
  <c r="CB15" i="2"/>
  <c r="CB14" i="2"/>
  <c r="CB13" i="2"/>
  <c r="CB11" i="2"/>
  <c r="CB8" i="2"/>
  <c r="CB7" i="2"/>
  <c r="CB6" i="2" s="1"/>
  <c r="BY16" i="2"/>
  <c r="BY15" i="2"/>
  <c r="BY14" i="2"/>
  <c r="BY13" i="2"/>
  <c r="BY11" i="2"/>
  <c r="BY8" i="2"/>
  <c r="BY7" i="2"/>
  <c r="BX16" i="2"/>
  <c r="BX15" i="2"/>
  <c r="BX14" i="2"/>
  <c r="BX13" i="2"/>
  <c r="BX11" i="2"/>
  <c r="BX8" i="2"/>
  <c r="BX7" i="2"/>
  <c r="BZ11" i="2"/>
  <c r="BZ8" i="2"/>
  <c r="BZ7" i="2"/>
  <c r="CA16" i="2"/>
  <c r="CA15" i="2"/>
  <c r="CA14" i="2"/>
  <c r="CA13" i="2"/>
  <c r="CA11" i="2"/>
  <c r="CA8" i="2"/>
  <c r="CA7" i="2"/>
  <c r="CA6" i="2" s="1"/>
  <c r="BZ16" i="2"/>
  <c r="BZ15" i="2"/>
  <c r="BZ14" i="2"/>
  <c r="BW16" i="2"/>
  <c r="BW15" i="2"/>
  <c r="BW14" i="2"/>
  <c r="BW13" i="2"/>
  <c r="BW11" i="2"/>
  <c r="BW8" i="2"/>
  <c r="BW7" i="2"/>
  <c r="BV16" i="2"/>
  <c r="BV15" i="2"/>
  <c r="BV14" i="2"/>
  <c r="BV13" i="2"/>
  <c r="BV8" i="2"/>
  <c r="BV6" i="2" l="1"/>
  <c r="BY6" i="2"/>
  <c r="BW6" i="2"/>
  <c r="BX6" i="2"/>
  <c r="BZ6" i="2"/>
  <c r="BU16" i="2"/>
  <c r="BU15" i="2"/>
  <c r="BU14" i="2"/>
  <c r="BU13" i="2"/>
  <c r="BU12" i="2"/>
  <c r="BU11" i="2"/>
  <c r="BU10" i="2"/>
  <c r="BU9" i="2"/>
  <c r="BU8" i="2"/>
  <c r="BU7" i="2"/>
  <c r="BT16" i="2" l="1"/>
  <c r="BT15" i="2"/>
  <c r="BT14" i="2"/>
  <c r="BT13" i="2"/>
  <c r="BT12" i="2"/>
  <c r="BT11" i="2"/>
  <c r="BT10" i="2"/>
  <c r="BT9" i="2"/>
  <c r="BT8" i="2"/>
  <c r="BT7" i="2"/>
  <c r="BR16" i="2" l="1"/>
  <c r="BQ16" i="2"/>
  <c r="BP16" i="2"/>
  <c r="BO16" i="2"/>
  <c r="BN16" i="2"/>
  <c r="BM16" i="2"/>
  <c r="BR15" i="2"/>
  <c r="BQ15" i="2"/>
  <c r="BP15" i="2"/>
  <c r="BO15" i="2"/>
  <c r="BN15" i="2"/>
  <c r="BM15" i="2"/>
  <c r="BR14" i="2"/>
  <c r="BQ14" i="2"/>
  <c r="BP14" i="2"/>
  <c r="BO14" i="2"/>
  <c r="BN14" i="2"/>
  <c r="BM14" i="2"/>
  <c r="BR13" i="2"/>
  <c r="BQ13" i="2"/>
  <c r="BP13" i="2"/>
  <c r="BO13" i="2"/>
  <c r="BN13" i="2"/>
  <c r="BM13" i="2"/>
  <c r="BR12" i="2"/>
  <c r="BQ12" i="2"/>
  <c r="BP12" i="2"/>
  <c r="BO12" i="2"/>
  <c r="BN12" i="2"/>
  <c r="BM12" i="2"/>
  <c r="BR11" i="2"/>
  <c r="BP11" i="2"/>
  <c r="BO11" i="2"/>
  <c r="BR10" i="2"/>
  <c r="BQ10" i="2"/>
  <c r="BP10" i="2"/>
  <c r="BO10" i="2"/>
  <c r="BN10" i="2"/>
  <c r="BM10" i="2"/>
  <c r="BR9" i="2"/>
  <c r="BQ9" i="2"/>
  <c r="BP9" i="2"/>
  <c r="BO9" i="2"/>
  <c r="BN9" i="2"/>
  <c r="BM9" i="2"/>
  <c r="BR8" i="2"/>
  <c r="BQ8" i="2"/>
  <c r="BO8" i="2"/>
  <c r="BN8" i="2"/>
  <c r="BM8" i="2"/>
  <c r="BR7" i="2"/>
  <c r="BQ7" i="2"/>
  <c r="BP7" i="2"/>
  <c r="BO7" i="2"/>
  <c r="BN7" i="2"/>
  <c r="BM7" i="2"/>
  <c r="BM6" i="2"/>
</calcChain>
</file>

<file path=xl/sharedStrings.xml><?xml version="1.0" encoding="utf-8"?>
<sst xmlns="http://schemas.openxmlformats.org/spreadsheetml/2006/main" count="199" uniqueCount="62">
  <si>
    <t>Commodity Section</t>
  </si>
  <si>
    <t xml:space="preserve">Food </t>
  </si>
  <si>
    <t>Beverages and Tobacco</t>
  </si>
  <si>
    <t>Mineral fuels</t>
  </si>
  <si>
    <t>Animal and Vegetable Oils and Fats</t>
  </si>
  <si>
    <t>Chemicals</t>
  </si>
  <si>
    <t>Machinery and Transport Equipments</t>
  </si>
  <si>
    <t>Miscellaneous Manufactured Articles</t>
  </si>
  <si>
    <t>Total Export</t>
  </si>
  <si>
    <t>Crude Material Inedible</t>
  </si>
  <si>
    <t>Manufactured Goods</t>
  </si>
  <si>
    <t xml:space="preserve">Miscellaneous Transaction 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</si>
  <si>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</si>
  <si>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</si>
  <si>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</si>
  <si>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</si>
  <si>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</si>
  <si>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</si>
  <si>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</si>
  <si>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</si>
  <si>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</si>
  <si>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</si>
  <si>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</si>
  <si>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</si>
  <si>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Source: </t>
  </si>
  <si>
    <t>Monthly - Exports by Commodity Section</t>
  </si>
  <si>
    <t>Note:</t>
  </si>
  <si>
    <t xml:space="preserve"> - Total may not tally due to rounding</t>
  </si>
  <si>
    <t>BND Million</t>
  </si>
  <si>
    <t>-</t>
  </si>
  <si>
    <t xml:space="preserve">April </t>
  </si>
  <si>
    <t xml:space="preserve">May </t>
  </si>
  <si>
    <t xml:space="preserve">September </t>
  </si>
  <si>
    <t xml:space="preserve">November </t>
  </si>
  <si>
    <t>Title of dataset:</t>
  </si>
  <si>
    <t xml:space="preserve">Exports by Commodity Section
</t>
  </si>
  <si>
    <t>Definition / Concept:</t>
  </si>
  <si>
    <t xml:space="preserve">Exports comprising domestic exports and re-exports of goods.
Exports are classified according to the United Nation Standard of International Trade Classification (SITC), Revision 4.
</t>
  </si>
  <si>
    <t>Frequency:</t>
  </si>
  <si>
    <t>Unit of measure:</t>
  </si>
  <si>
    <t xml:space="preserve">BND Million
</t>
  </si>
  <si>
    <t>Level of disaggregation:</t>
  </si>
  <si>
    <t xml:space="preserve">Total Export
- Food 
- Beverages and Tobacco
- Crude Material Inedible
- Mineral fuels
- Animal and Vegetable Oils and Fats
- Chemicals
- Manufactured Goods
- Machinery and Transport Equipments
- Miscellaneous Manufactured Articles
- Miscellaneous Transaction 
</t>
  </si>
  <si>
    <t>Footnote:</t>
  </si>
  <si>
    <t xml:space="preserve">-
</t>
  </si>
  <si>
    <t>Data source:</t>
  </si>
  <si>
    <t xml:space="preserve">Department of Economic Planning and Statistics, Ministry of Finance and Economy.
</t>
  </si>
  <si>
    <t>Availability (start &amp; end periods):</t>
  </si>
  <si>
    <t>URL for direct access to data series/ statistical table:</t>
  </si>
  <si>
    <t xml:space="preserve">Formats for download: </t>
  </si>
  <si>
    <t xml:space="preserve">xlsx
</t>
  </si>
  <si>
    <t xml:space="preserve">URL to terms of use: </t>
  </si>
  <si>
    <t xml:space="preserve">Monthly
</t>
  </si>
  <si>
    <t xml:space="preserve"> - Department of Economic Planning and Statistics, Ministry of Finance and Economy</t>
  </si>
  <si>
    <t>Data last updated</t>
  </si>
  <si>
    <t>…</t>
  </si>
  <si>
    <t xml:space="preserve"> - '-' means Nil</t>
  </si>
  <si>
    <t xml:space="preserve"> - '…' means Not Available</t>
  </si>
  <si>
    <t xml:space="preserve">January 2015 - October 2025
</t>
  </si>
  <si>
    <t>24/12/2025</t>
  </si>
  <si>
    <t xml:space="preserve">https://deps.mofe.gov.bn/e-data-library/
</t>
  </si>
  <si>
    <t xml:space="preserve">https://deps.mofe.gov.bn/terms-of-use/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</si>
</sst>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0_);\(0\)"/>
    <numFmt numFmtId="166" formatCode="#,##0.0_);\(#,##0.0\)"/>
    <numFmt numFmtId="167" formatCode="[$-409]mmmm\-yy;@"/>
    <numFmt numFmtId="168" formatCode="#,##0.0"/>
    <numFmt numFmtId="169" formatCode="_(* #,##0.0_);_(* \(#,##0.0\);_(* &quot;-&quot;??_);_(@_)"/>
    <numFmt numFmtId="170" formatCode="_(* #,##0_);_(* \(#,##0\);_(* &quot;-&quot;??_);_(@_)"/>
    <numFmt numFmtId="171" formatCode="0.0"/>
  </numFmts>
  <fonts count="10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2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 applyNumberFormat="0" applyFont="0" applyFill="0" applyBorder="0" applyProtection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0" fontId="2" fillId="0" borderId="0"/>
    <xf numFmtId="0" fontId="7" fillId="0" borderId="0"/>
  </cellStyleXfs>
  <cellXfs count="92">
    <xf numFmtId="0" fontId="0" fillId="0" borderId="0" xfId="0"/>
    <xf numFmtId="0" fontId="1" fillId="0" borderId="0" xfId="2" applyFont="1"/>
    <xf numFmtId="0" fontId="4" fillId="0" borderId="0" xfId="0" applyFont="1"/>
    <xf numFmtId="0" fontId="3" fillId="0" borderId="0" xfId="1" applyFont="1" applyAlignment="1">
      <alignment horizontal="left"/>
    </xf>
    <xf numFmtId="0" fontId="3" fillId="0" borderId="0" xfId="1" applyFont="1"/>
    <xf numFmtId="0" fontId="1" fillId="0" borderId="0" xfId="1" applyFont="1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1" applyFont="1" applyBorder="1" applyAlignment="1" applyProtection="1">
      <alignment horizontal="left" vertical="center" indent="1"/>
    </xf>
    <xf numFmtId="166" fontId="1" fillId="0" borderId="0" xfId="0" applyNumberFormat="1" applyFont="1" applyBorder="1"/>
    <xf numFmtId="0" fontId="1" fillId="0" borderId="0" xfId="1" applyFont="1" applyBorder="1" applyAlignment="1" applyProtection="1">
      <alignment horizontal="left" vertical="center"/>
    </xf>
    <xf numFmtId="0" fontId="3" fillId="0" borderId="0" xfId="1" applyFont="1" applyAlignment="1" applyProtection="1">
      <alignment horizontal="left" vertical="center" wrapText="1"/>
    </xf>
    <xf numFmtId="0" fontId="1" fillId="0" borderId="7" xfId="1" applyFont="1" applyBorder="1" applyAlignment="1" applyProtection="1">
      <alignment horizontal="left" vertical="center" indent="1"/>
    </xf>
    <xf numFmtId="0" fontId="1" fillId="0" borderId="2" xfId="1" applyFont="1" applyBorder="1" applyAlignment="1" applyProtection="1">
      <alignment horizontal="left" vertical="center" indent="1"/>
    </xf>
    <xf numFmtId="0" fontId="3" fillId="0" borderId="0" xfId="1" applyFont="1" applyAlignment="1" applyProtection="1">
      <alignment horizontal="left" vertical="center" wrapText="1"/>
    </xf>
    <xf numFmtId="165" fontId="3" fillId="0" borderId="11" xfId="1" applyNumberFormat="1" applyFont="1" applyFill="1" applyBorder="1" applyAlignment="1">
      <alignment horizontal="right" vertical="center"/>
    </xf>
    <xf numFmtId="165" fontId="3" fillId="0" borderId="10" xfId="1" applyNumberFormat="1" applyFont="1" applyFill="1" applyBorder="1" applyAlignment="1">
      <alignment horizontal="right" vertical="center"/>
    </xf>
    <xf numFmtId="165" fontId="3" fillId="0" borderId="10" xfId="1" applyNumberFormat="1" applyFont="1" applyFill="1" applyBorder="1" applyAlignment="1">
      <alignment horizontal="center" vertical="center"/>
    </xf>
    <xf numFmtId="165" fontId="3" fillId="0" borderId="11" xfId="1" applyNumberFormat="1" applyFont="1" applyFill="1" applyBorder="1" applyAlignment="1">
      <alignment horizontal="center" vertical="center"/>
    </xf>
    <xf numFmtId="165" fontId="3" fillId="0" borderId="12" xfId="1" applyNumberFormat="1" applyFont="1" applyFill="1" applyBorder="1" applyAlignment="1">
      <alignment horizontal="center" vertical="center"/>
    </xf>
    <xf numFmtId="167" fontId="3" fillId="0" borderId="10" xfId="1" applyNumberFormat="1" applyFont="1" applyFill="1" applyBorder="1" applyAlignment="1">
      <alignment horizontal="center" vertical="center"/>
    </xf>
    <xf numFmtId="17" fontId="5" fillId="0" borderId="11" xfId="0" applyNumberFormat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4" fillId="0" borderId="14" xfId="0" applyFont="1" applyFill="1" applyBorder="1" applyAlignment="1">
      <alignment vertical="top"/>
    </xf>
    <xf numFmtId="0" fontId="4" fillId="0" borderId="14" xfId="0" applyFont="1" applyFill="1" applyBorder="1" applyAlignment="1">
      <alignment vertical="top" wrapText="1"/>
    </xf>
    <xf numFmtId="0" fontId="4" fillId="0" borderId="0" xfId="0" applyFont="1" applyAlignment="1">
      <alignment vertical="top"/>
    </xf>
    <xf numFmtId="0" fontId="1" fillId="0" borderId="14" xfId="0" applyFont="1" applyFill="1" applyBorder="1" applyAlignment="1">
      <alignment horizontal="justify" vertical="top" wrapText="1"/>
    </xf>
    <xf numFmtId="0" fontId="1" fillId="0" borderId="14" xfId="0" quotePrefix="1" applyFont="1" applyFill="1" applyBorder="1" applyAlignment="1">
      <alignment vertical="top" wrapText="1"/>
    </xf>
    <xf numFmtId="0" fontId="4" fillId="0" borderId="14" xfId="0" applyFont="1" applyFill="1" applyBorder="1" applyAlignment="1">
      <alignment horizontal="left" vertical="top" wrapText="1"/>
    </xf>
    <xf numFmtId="0" fontId="3" fillId="0" borderId="0" xfId="1" applyFont="1" applyAlignment="1" applyProtection="1">
      <alignment vertical="center" wrapText="1"/>
    </xf>
    <xf numFmtId="166" fontId="1" fillId="0" borderId="0" xfId="1" applyNumberFormat="1" applyFont="1"/>
    <xf numFmtId="168" fontId="1" fillId="0" borderId="0" xfId="1" applyNumberFormat="1" applyFont="1"/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center" vertical="center"/>
    </xf>
    <xf numFmtId="17" fontId="5" fillId="0" borderId="0" xfId="0" applyNumberFormat="1" applyFont="1" applyBorder="1" applyAlignment="1">
      <alignment horizontal="center" vertical="center"/>
    </xf>
    <xf numFmtId="17" fontId="5" fillId="0" borderId="8" xfId="0" applyNumberFormat="1" applyFont="1" applyBorder="1" applyAlignment="1">
      <alignment horizontal="center" vertical="center"/>
    </xf>
    <xf numFmtId="0" fontId="1" fillId="0" borderId="3" xfId="1" applyFont="1" applyBorder="1" applyAlignment="1" applyProtection="1">
      <alignment horizontal="left" vertical="center" indent="1"/>
    </xf>
    <xf numFmtId="168" fontId="3" fillId="0" borderId="0" xfId="1" applyNumberFormat="1" applyFont="1" applyAlignment="1">
      <alignment horizontal="left"/>
    </xf>
    <xf numFmtId="168" fontId="1" fillId="0" borderId="0" xfId="0" applyNumberFormat="1" applyFont="1"/>
    <xf numFmtId="165" fontId="3" fillId="0" borderId="2" xfId="1" applyNumberFormat="1" applyFont="1" applyFill="1" applyBorder="1" applyAlignment="1">
      <alignment horizontal="right" vertical="center"/>
    </xf>
    <xf numFmtId="165" fontId="3" fillId="0" borderId="1" xfId="1" applyNumberFormat="1" applyFont="1" applyFill="1" applyBorder="1" applyAlignment="1">
      <alignment horizontal="right" vertical="center"/>
    </xf>
    <xf numFmtId="165" fontId="3" fillId="0" borderId="1" xfId="1" applyNumberFormat="1" applyFont="1" applyFill="1" applyBorder="1" applyAlignment="1">
      <alignment horizontal="center" vertical="center"/>
    </xf>
    <xf numFmtId="168" fontId="3" fillId="0" borderId="1" xfId="1" applyNumberFormat="1" applyFont="1" applyFill="1" applyBorder="1" applyAlignment="1">
      <alignment horizontal="center" vertical="center"/>
    </xf>
    <xf numFmtId="168" fontId="5" fillId="0" borderId="0" xfId="0" applyNumberFormat="1" applyFont="1" applyBorder="1" applyAlignment="1">
      <alignment horizontal="center" vertical="center"/>
    </xf>
    <xf numFmtId="168" fontId="5" fillId="0" borderId="1" xfId="0" applyNumberFormat="1" applyFont="1" applyBorder="1" applyAlignment="1">
      <alignment horizontal="center" vertical="center"/>
    </xf>
    <xf numFmtId="168" fontId="5" fillId="0" borderId="12" xfId="0" applyNumberFormat="1" applyFont="1" applyBorder="1" applyAlignment="1">
      <alignment horizontal="center" vertical="center"/>
    </xf>
    <xf numFmtId="165" fontId="3" fillId="0" borderId="2" xfId="1" applyNumberFormat="1" applyFont="1" applyFill="1" applyBorder="1" applyAlignment="1">
      <alignment horizontal="center" vertical="center"/>
    </xf>
    <xf numFmtId="169" fontId="1" fillId="0" borderId="0" xfId="6" applyNumberFormat="1" applyFont="1" applyBorder="1"/>
    <xf numFmtId="169" fontId="1" fillId="0" borderId="1" xfId="6" applyNumberFormat="1" applyFont="1" applyBorder="1"/>
    <xf numFmtId="14" fontId="4" fillId="0" borderId="14" xfId="0" quotePrefix="1" applyNumberFormat="1" applyFont="1" applyFill="1" applyBorder="1" applyAlignment="1">
      <alignment horizontal="left" vertical="top" wrapText="1"/>
    </xf>
    <xf numFmtId="169" fontId="1" fillId="0" borderId="8" xfId="6" applyNumberFormat="1" applyFont="1" applyBorder="1"/>
    <xf numFmtId="169" fontId="1" fillId="0" borderId="9" xfId="6" applyNumberFormat="1" applyFont="1" applyBorder="1"/>
    <xf numFmtId="169" fontId="1" fillId="0" borderId="4" xfId="6" applyNumberFormat="1" applyFont="1" applyBorder="1"/>
    <xf numFmtId="169" fontId="1" fillId="0" borderId="5" xfId="6" applyNumberFormat="1" applyFont="1" applyBorder="1"/>
    <xf numFmtId="169" fontId="1" fillId="0" borderId="6" xfId="6" applyNumberFormat="1" applyFont="1" applyBorder="1"/>
    <xf numFmtId="169" fontId="1" fillId="0" borderId="7" xfId="6" applyNumberFormat="1" applyFont="1" applyBorder="1"/>
    <xf numFmtId="169" fontId="1" fillId="0" borderId="2" xfId="6" applyNumberFormat="1" applyFont="1" applyBorder="1"/>
    <xf numFmtId="170" fontId="1" fillId="0" borderId="0" xfId="6" applyNumberFormat="1" applyFont="1"/>
    <xf numFmtId="171" fontId="1" fillId="0" borderId="0" xfId="0" applyNumberFormat="1" applyFont="1"/>
    <xf numFmtId="169" fontId="1" fillId="0" borderId="0" xfId="2" applyNumberFormat="1" applyFont="1"/>
    <xf numFmtId="0" fontId="1" fillId="0" borderId="0" xfId="0" applyFont="1" applyBorder="1"/>
    <xf numFmtId="170" fontId="1" fillId="0" borderId="0" xfId="6" applyNumberFormat="1" applyFont="1" applyBorder="1"/>
    <xf numFmtId="171" fontId="1" fillId="0" borderId="0" xfId="0" applyNumberFormat="1" applyFont="1" applyBorder="1"/>
    <xf numFmtId="0" fontId="1" fillId="0" borderId="0" xfId="0" applyFont="1" applyFill="1"/>
    <xf numFmtId="168" fontId="1" fillId="0" borderId="0" xfId="1" applyNumberFormat="1" applyFont="1" applyFill="1"/>
    <xf numFmtId="169" fontId="1" fillId="0" borderId="0" xfId="2" applyNumberFormat="1" applyFont="1" applyFill="1"/>
    <xf numFmtId="171" fontId="1" fillId="0" borderId="0" xfId="0" applyNumberFormat="1" applyFont="1" applyFill="1"/>
    <xf numFmtId="0" fontId="1" fillId="0" borderId="0" xfId="0" applyFont="1" applyFill="1" applyBorder="1"/>
    <xf numFmtId="169" fontId="1" fillId="0" borderId="0" xfId="6" applyNumberFormat="1" applyFont="1" applyFill="1"/>
    <xf numFmtId="170" fontId="1" fillId="0" borderId="0" xfId="6" applyNumberFormat="1" applyFont="1" applyFill="1" applyBorder="1"/>
    <xf numFmtId="0" fontId="3" fillId="0" borderId="0" xfId="1" applyFont="1" applyBorder="1" applyAlignment="1">
      <alignment horizontal="center"/>
    </xf>
    <xf numFmtId="0" fontId="2" fillId="0" borderId="0" xfId="0" applyFont="1"/>
    <xf numFmtId="0" fontId="2" fillId="0" borderId="0" xfId="0" applyFont="1" applyFill="1" applyBorder="1"/>
    <xf numFmtId="0" fontId="8" fillId="0" borderId="0" xfId="0" applyNumberFormat="1" applyFont="1" applyFill="1" applyBorder="1"/>
    <xf numFmtId="169" fontId="1" fillId="0" borderId="0" xfId="6" applyNumberFormat="1" applyFont="1" applyBorder="1" applyAlignment="1">
      <alignment horizontal="center" vertical="center"/>
    </xf>
    <xf numFmtId="169" fontId="1" fillId="0" borderId="1" xfId="6" applyNumberFormat="1" applyFont="1" applyBorder="1" applyAlignment="1">
      <alignment horizontal="center" vertical="center"/>
    </xf>
    <xf numFmtId="169" fontId="1" fillId="0" borderId="0" xfId="1" applyNumberFormat="1" applyFont="1"/>
    <xf numFmtId="0" fontId="9" fillId="0" borderId="14" xfId="5" quotePrefix="1" applyFont="1" applyFill="1" applyBorder="1" applyAlignment="1">
      <alignment vertical="top" wrapText="1"/>
    </xf>
    <xf numFmtId="0" fontId="3" fillId="0" borderId="10" xfId="1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3" fillId="0" borderId="12" xfId="1" applyFont="1" applyBorder="1" applyAlignment="1">
      <alignment horizontal="center"/>
    </xf>
    <xf numFmtId="0" fontId="3" fillId="0" borderId="14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3" xfId="1" applyFont="1" applyBorder="1" applyAlignment="1">
      <alignment horizontal="center"/>
    </xf>
    <xf numFmtId="0" fontId="5" fillId="0" borderId="3" xfId="2" applyFont="1" applyBorder="1" applyAlignment="1" applyProtection="1">
      <alignment horizontal="center" vertical="center"/>
    </xf>
    <xf numFmtId="0" fontId="9" fillId="0" borderId="14" xfId="5" applyFont="1" applyFill="1" applyBorder="1" applyAlignment="1">
      <alignment vertical="top" wrapText="1"/>
    </xf>
  </cellXfs>
  <cellStyles count="13">
    <cellStyle name="Comma" xfId="6" builtinId="3"/>
    <cellStyle name="Comma 2" xfId="4" xr:uid="{00000000-0005-0000-0000-000001000000}"/>
    <cellStyle name="Comma 2 2" xfId="7" xr:uid="{00000000-0005-0000-0000-000035000000}"/>
    <cellStyle name="Comma 3" xfId="8" xr:uid="{00000000-0005-0000-0000-000036000000}"/>
    <cellStyle name="Comma 4" xfId="9" xr:uid="{00000000-0005-0000-0000-000037000000}"/>
    <cellStyle name="Hyperlink" xfId="5" builtinId="8"/>
    <cellStyle name="Normal" xfId="0" builtinId="0"/>
    <cellStyle name="Normal 2" xfId="3" xr:uid="{00000000-0005-0000-0000-000004000000}"/>
    <cellStyle name="Normal 2 2" xfId="10" xr:uid="{00000000-0005-0000-0000-000038000000}"/>
    <cellStyle name="Normal 3" xfId="11" xr:uid="{00000000-0005-0000-0000-000039000000}"/>
    <cellStyle name="Normal 4" xfId="12" xr:uid="{00000000-0005-0000-0000-00003A000000}"/>
    <cellStyle name="Normal_6" xfId="2" xr:uid="{00000000-0005-0000-0000-000005000000}"/>
    <cellStyle name="Normal_6_1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eps.mofe.gov.bn/terms-of-use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3"/>
  <sheetViews>
    <sheetView topLeftCell="A4" workbookViewId="0">
      <selection activeCell="C14" sqref="C14"/>
    </sheetView>
  </sheetViews>
  <sheetFormatPr defaultColWidth="8.7109375" defaultRowHeight="15" x14ac:dyDescent="0.25"/>
  <cols>
    <col min="1" max="1" width="5.5703125" style="26" customWidth="1"/>
    <col min="2" max="2" width="52.5703125" style="26" customWidth="1"/>
    <col min="3" max="3" width="87.5703125" style="26" customWidth="1"/>
    <col min="4" max="16384" width="8.7109375" style="26"/>
  </cols>
  <sheetData>
    <row r="2" spans="2:3" ht="30" x14ac:dyDescent="0.25">
      <c r="B2" s="24" t="s">
        <v>34</v>
      </c>
      <c r="C2" s="25" t="s">
        <v>35</v>
      </c>
    </row>
    <row r="3" spans="2:3" ht="60" x14ac:dyDescent="0.25">
      <c r="B3" s="24" t="s">
        <v>36</v>
      </c>
      <c r="C3" s="27" t="s">
        <v>37</v>
      </c>
    </row>
    <row r="4" spans="2:3" ht="30" x14ac:dyDescent="0.25">
      <c r="B4" s="24" t="s">
        <v>38</v>
      </c>
      <c r="C4" s="25" t="s">
        <v>52</v>
      </c>
    </row>
    <row r="5" spans="2:3" ht="30" x14ac:dyDescent="0.25">
      <c r="B5" s="24" t="s">
        <v>39</v>
      </c>
      <c r="C5" s="25" t="s">
        <v>40</v>
      </c>
    </row>
    <row r="6" spans="2:3" ht="195" x14ac:dyDescent="0.25">
      <c r="B6" s="24" t="s">
        <v>41</v>
      </c>
      <c r="C6" s="25" t="s">
        <v>42</v>
      </c>
    </row>
    <row r="7" spans="2:3" ht="45" x14ac:dyDescent="0.25">
      <c r="B7" s="24" t="s">
        <v>43</v>
      </c>
      <c r="C7" s="28" t="s">
        <v>44</v>
      </c>
    </row>
    <row r="8" spans="2:3" ht="30" x14ac:dyDescent="0.25">
      <c r="B8" s="24" t="s">
        <v>45</v>
      </c>
      <c r="C8" s="29" t="s">
        <v>46</v>
      </c>
    </row>
    <row r="9" spans="2:3" ht="30" x14ac:dyDescent="0.25">
      <c r="B9" s="24" t="s">
        <v>47</v>
      </c>
      <c r="C9" s="25" t="s">
        <v>58</v>
      </c>
    </row>
    <row r="10" spans="2:3" ht="30" x14ac:dyDescent="0.25">
      <c r="B10" s="24" t="s">
        <v>48</v>
      </c>
      <c r="C10" s="79" t="s">
        <v>60</v>
      </c>
    </row>
    <row r="11" spans="2:3" ht="30" x14ac:dyDescent="0.25">
      <c r="B11" s="24" t="s">
        <v>49</v>
      </c>
      <c r="C11" s="25" t="s">
        <v>50</v>
      </c>
    </row>
    <row r="12" spans="2:3" ht="30" x14ac:dyDescent="0.25">
      <c r="B12" s="24" t="s">
        <v>51</v>
      </c>
      <c r="C12" s="91" t="s">
        <v>61</v>
      </c>
    </row>
    <row r="13" spans="2:3" x14ac:dyDescent="0.25">
      <c r="B13" s="24" t="s">
        <v>54</v>
      </c>
      <c r="C13" s="51" t="s">
        <v>59</v>
      </c>
    </row>
  </sheetData>
  <hyperlinks>
    <hyperlink ref="C12" r:id="rId1" xr:uid="{77E70BB0-90EE-4142-90F2-B84AA7ECDFBE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G53"/>
  <sheetViews>
    <sheetView tabSelected="1" zoomScale="90" zoomScaleNormal="90" workbookViewId="0">
      <pane xSplit="1" topLeftCell="DR1" activePane="topRight" state="frozen"/>
      <selection pane="topRight" activeCell="EA16" sqref="EA16"/>
    </sheetView>
  </sheetViews>
  <sheetFormatPr defaultColWidth="9.140625" defaultRowHeight="15.75" x14ac:dyDescent="0.25"/>
  <cols>
    <col min="1" max="1" width="48.28515625" style="7" customWidth="1"/>
    <col min="2" max="17" width="14.7109375" style="7" customWidth="1"/>
    <col min="18" max="18" width="14.7109375" customWidth="1"/>
    <col min="19" max="100" width="14.7109375" style="7" customWidth="1"/>
    <col min="101" max="101" width="14.7109375" style="40" customWidth="1"/>
    <col min="102" max="102" width="14.7109375" style="7" customWidth="1"/>
    <col min="103" max="103" width="14.7109375" style="40" customWidth="1"/>
    <col min="104" max="131" width="14.7109375" style="7" customWidth="1"/>
    <col min="132" max="132" width="12.28515625" style="7" customWidth="1"/>
    <col min="133" max="133" width="14.28515625" style="7" bestFit="1" customWidth="1"/>
    <col min="134" max="134" width="11.5703125" style="7" bestFit="1" customWidth="1"/>
    <col min="135" max="135" width="15.5703125" style="7" bestFit="1" customWidth="1"/>
    <col min="136" max="136" width="11.5703125" style="7" bestFit="1" customWidth="1"/>
    <col min="137" max="137" width="14.28515625" style="7" bestFit="1" customWidth="1"/>
    <col min="138" max="141" width="11.5703125" style="7" bestFit="1" customWidth="1"/>
    <col min="142" max="16384" width="9.140625" style="7"/>
  </cols>
  <sheetData>
    <row r="1" spans="1:133" s="3" customFormat="1" ht="18.95" customHeight="1" x14ac:dyDescent="0.25">
      <c r="A1" s="30" t="s">
        <v>25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R1"/>
      <c r="CW1" s="39"/>
      <c r="CY1" s="39"/>
    </row>
    <row r="2" spans="1:133" s="3" customFormat="1" ht="18.95" customHeight="1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R2"/>
      <c r="CW2" s="39"/>
      <c r="CY2" s="39"/>
    </row>
    <row r="3" spans="1:133" s="3" customFormat="1" ht="18.95" customHeight="1" x14ac:dyDescent="0.25">
      <c r="A3" s="11" t="s">
        <v>28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R3"/>
      <c r="CW3" s="39"/>
      <c r="CY3" s="39"/>
    </row>
    <row r="4" spans="1:133" s="4" customFormat="1" ht="15" customHeight="1" x14ac:dyDescent="0.25">
      <c r="A4" s="87" t="s">
        <v>0</v>
      </c>
      <c r="B4" s="90">
        <v>2015</v>
      </c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89">
        <v>2016</v>
      </c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>
        <v>2017</v>
      </c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>
        <v>2018</v>
      </c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>
        <v>2019</v>
      </c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0">
        <v>2020</v>
      </c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2"/>
      <c r="BV4" s="83">
        <v>2021</v>
      </c>
      <c r="BW4" s="83"/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0">
        <v>2022</v>
      </c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0">
        <v>2023</v>
      </c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2"/>
      <c r="DF4" s="80">
        <v>2024</v>
      </c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2"/>
      <c r="DR4" s="84">
        <v>2025</v>
      </c>
      <c r="DS4" s="85"/>
      <c r="DT4" s="85"/>
      <c r="DU4" s="85"/>
      <c r="DV4" s="85"/>
      <c r="DW4" s="85"/>
      <c r="DX4" s="85"/>
      <c r="DY4" s="85"/>
      <c r="DZ4" s="85"/>
      <c r="EA4" s="86"/>
      <c r="EB4" s="72"/>
    </row>
    <row r="5" spans="1:133" s="5" customFormat="1" ht="18.95" customHeight="1" x14ac:dyDescent="0.2">
      <c r="A5" s="88"/>
      <c r="B5" s="20" t="s">
        <v>12</v>
      </c>
      <c r="C5" s="18" t="s">
        <v>13</v>
      </c>
      <c r="D5" s="18" t="s">
        <v>14</v>
      </c>
      <c r="E5" s="18" t="s">
        <v>15</v>
      </c>
      <c r="F5" s="18" t="s">
        <v>16</v>
      </c>
      <c r="G5" s="18" t="s">
        <v>17</v>
      </c>
      <c r="H5" s="18" t="s">
        <v>18</v>
      </c>
      <c r="I5" s="18" t="s">
        <v>19</v>
      </c>
      <c r="J5" s="18" t="s">
        <v>20</v>
      </c>
      <c r="K5" s="18" t="s">
        <v>21</v>
      </c>
      <c r="L5" s="18" t="s">
        <v>22</v>
      </c>
      <c r="M5" s="19" t="s">
        <v>23</v>
      </c>
      <c r="N5" s="17" t="s">
        <v>12</v>
      </c>
      <c r="O5" s="18" t="s">
        <v>13</v>
      </c>
      <c r="P5" s="18" t="s">
        <v>14</v>
      </c>
      <c r="Q5" s="18" t="s">
        <v>15</v>
      </c>
      <c r="R5" s="18" t="s">
        <v>16</v>
      </c>
      <c r="S5" s="18" t="s">
        <v>17</v>
      </c>
      <c r="T5" s="18" t="s">
        <v>18</v>
      </c>
      <c r="U5" s="18" t="s">
        <v>19</v>
      </c>
      <c r="V5" s="18" t="s">
        <v>20</v>
      </c>
      <c r="W5" s="18" t="s">
        <v>21</v>
      </c>
      <c r="X5" s="18" t="s">
        <v>22</v>
      </c>
      <c r="Y5" s="19" t="s">
        <v>23</v>
      </c>
      <c r="Z5" s="17" t="s">
        <v>12</v>
      </c>
      <c r="AA5" s="18" t="s">
        <v>13</v>
      </c>
      <c r="AB5" s="18" t="s">
        <v>14</v>
      </c>
      <c r="AC5" s="18" t="s">
        <v>15</v>
      </c>
      <c r="AD5" s="18" t="s">
        <v>16</v>
      </c>
      <c r="AE5" s="18" t="s">
        <v>17</v>
      </c>
      <c r="AF5" s="18" t="s">
        <v>18</v>
      </c>
      <c r="AG5" s="18" t="s">
        <v>19</v>
      </c>
      <c r="AH5" s="18" t="s">
        <v>20</v>
      </c>
      <c r="AI5" s="18" t="s">
        <v>21</v>
      </c>
      <c r="AJ5" s="18" t="s">
        <v>22</v>
      </c>
      <c r="AK5" s="19" t="s">
        <v>23</v>
      </c>
      <c r="AL5" s="17" t="s">
        <v>12</v>
      </c>
      <c r="AM5" s="18" t="s">
        <v>13</v>
      </c>
      <c r="AN5" s="18" t="s">
        <v>14</v>
      </c>
      <c r="AO5" s="18" t="s">
        <v>15</v>
      </c>
      <c r="AP5" s="18" t="s">
        <v>16</v>
      </c>
      <c r="AQ5" s="18" t="s">
        <v>17</v>
      </c>
      <c r="AR5" s="18" t="s">
        <v>18</v>
      </c>
      <c r="AS5" s="18" t="s">
        <v>19</v>
      </c>
      <c r="AT5" s="18" t="s">
        <v>20</v>
      </c>
      <c r="AU5" s="18" t="s">
        <v>21</v>
      </c>
      <c r="AV5" s="18" t="s">
        <v>22</v>
      </c>
      <c r="AW5" s="19" t="s">
        <v>23</v>
      </c>
      <c r="AX5" s="17" t="s">
        <v>12</v>
      </c>
      <c r="AY5" s="18" t="s">
        <v>13</v>
      </c>
      <c r="AZ5" s="18" t="s">
        <v>14</v>
      </c>
      <c r="BA5" s="18" t="s">
        <v>15</v>
      </c>
      <c r="BB5" s="18" t="s">
        <v>16</v>
      </c>
      <c r="BC5" s="18" t="s">
        <v>17</v>
      </c>
      <c r="BD5" s="18" t="s">
        <v>18</v>
      </c>
      <c r="BE5" s="18" t="s">
        <v>19</v>
      </c>
      <c r="BF5" s="18" t="s">
        <v>20</v>
      </c>
      <c r="BG5" s="18" t="s">
        <v>21</v>
      </c>
      <c r="BH5" s="18" t="s">
        <v>22</v>
      </c>
      <c r="BI5" s="18" t="s">
        <v>23</v>
      </c>
      <c r="BJ5" s="16" t="s">
        <v>12</v>
      </c>
      <c r="BK5" s="15" t="s">
        <v>13</v>
      </c>
      <c r="BL5" s="18" t="s">
        <v>14</v>
      </c>
      <c r="BM5" s="21" t="s">
        <v>30</v>
      </c>
      <c r="BN5" s="21" t="s">
        <v>31</v>
      </c>
      <c r="BO5" s="21" t="s">
        <v>17</v>
      </c>
      <c r="BP5" s="21" t="s">
        <v>18</v>
      </c>
      <c r="BQ5" s="21" t="s">
        <v>19</v>
      </c>
      <c r="BR5" s="21" t="s">
        <v>32</v>
      </c>
      <c r="BS5" s="21" t="s">
        <v>21</v>
      </c>
      <c r="BT5" s="22" t="s">
        <v>33</v>
      </c>
      <c r="BU5" s="23" t="s">
        <v>23</v>
      </c>
      <c r="BV5" s="33" t="s">
        <v>12</v>
      </c>
      <c r="BW5" s="34" t="s">
        <v>13</v>
      </c>
      <c r="BX5" s="35" t="s">
        <v>14</v>
      </c>
      <c r="BY5" s="36" t="s">
        <v>30</v>
      </c>
      <c r="BZ5" s="36" t="s">
        <v>31</v>
      </c>
      <c r="CA5" s="36" t="s">
        <v>17</v>
      </c>
      <c r="CB5" s="36" t="s">
        <v>18</v>
      </c>
      <c r="CC5" s="36" t="s">
        <v>19</v>
      </c>
      <c r="CD5" s="21" t="s">
        <v>20</v>
      </c>
      <c r="CE5" s="21" t="s">
        <v>21</v>
      </c>
      <c r="CF5" s="21" t="s">
        <v>22</v>
      </c>
      <c r="CG5" s="37" t="s">
        <v>23</v>
      </c>
      <c r="CH5" s="41" t="s">
        <v>12</v>
      </c>
      <c r="CI5" s="42" t="s">
        <v>13</v>
      </c>
      <c r="CJ5" s="43" t="s">
        <v>14</v>
      </c>
      <c r="CK5" s="43" t="s">
        <v>15</v>
      </c>
      <c r="CL5" s="44" t="s">
        <v>16</v>
      </c>
      <c r="CM5" s="44" t="s">
        <v>17</v>
      </c>
      <c r="CN5" s="45" t="s">
        <v>18</v>
      </c>
      <c r="CO5" s="46" t="s">
        <v>19</v>
      </c>
      <c r="CP5" s="46" t="s">
        <v>20</v>
      </c>
      <c r="CQ5" s="46" t="s">
        <v>21</v>
      </c>
      <c r="CR5" s="46" t="s">
        <v>22</v>
      </c>
      <c r="CS5" s="47" t="s">
        <v>23</v>
      </c>
      <c r="CT5" s="48" t="s">
        <v>12</v>
      </c>
      <c r="CU5" s="43" t="s">
        <v>13</v>
      </c>
      <c r="CV5" s="43" t="s">
        <v>14</v>
      </c>
      <c r="CW5" s="43" t="s">
        <v>15</v>
      </c>
      <c r="CX5" s="43" t="s">
        <v>16</v>
      </c>
      <c r="CY5" s="43" t="s">
        <v>17</v>
      </c>
      <c r="CZ5" s="43" t="s">
        <v>18</v>
      </c>
      <c r="DA5" s="43" t="s">
        <v>19</v>
      </c>
      <c r="DB5" s="43" t="s">
        <v>20</v>
      </c>
      <c r="DC5" s="43" t="s">
        <v>21</v>
      </c>
      <c r="DD5" s="43" t="s">
        <v>22</v>
      </c>
      <c r="DE5" s="19" t="s">
        <v>23</v>
      </c>
      <c r="DF5" s="17" t="s">
        <v>12</v>
      </c>
      <c r="DG5" s="18" t="s">
        <v>13</v>
      </c>
      <c r="DH5" s="18" t="s">
        <v>14</v>
      </c>
      <c r="DI5" s="18" t="s">
        <v>15</v>
      </c>
      <c r="DJ5" s="18" t="s">
        <v>16</v>
      </c>
      <c r="DK5" s="18" t="s">
        <v>17</v>
      </c>
      <c r="DL5" s="18" t="s">
        <v>18</v>
      </c>
      <c r="DM5" s="18" t="s">
        <v>19</v>
      </c>
      <c r="DN5" s="18" t="s">
        <v>20</v>
      </c>
      <c r="DO5" s="18" t="s">
        <v>21</v>
      </c>
      <c r="DP5" s="18" t="s">
        <v>22</v>
      </c>
      <c r="DQ5" s="19" t="s">
        <v>23</v>
      </c>
      <c r="DR5" s="17" t="s">
        <v>12</v>
      </c>
      <c r="DS5" s="18" t="s">
        <v>13</v>
      </c>
      <c r="DT5" s="18" t="s">
        <v>14</v>
      </c>
      <c r="DU5" s="18" t="s">
        <v>15</v>
      </c>
      <c r="DV5" s="18" t="s">
        <v>16</v>
      </c>
      <c r="DW5" s="18" t="s">
        <v>17</v>
      </c>
      <c r="DX5" s="18" t="s">
        <v>18</v>
      </c>
      <c r="DY5" s="18" t="s">
        <v>19</v>
      </c>
      <c r="DZ5" s="18" t="s">
        <v>20</v>
      </c>
      <c r="EA5" s="19" t="s">
        <v>21</v>
      </c>
      <c r="EB5" s="35"/>
    </row>
    <row r="6" spans="1:133" s="5" customFormat="1" ht="18.95" customHeight="1" x14ac:dyDescent="0.2">
      <c r="A6" s="38" t="s">
        <v>8</v>
      </c>
      <c r="B6" s="54">
        <v>955.22889699999996</v>
      </c>
      <c r="C6" s="55">
        <v>795.29888500000004</v>
      </c>
      <c r="D6" s="55">
        <v>812.18215499999997</v>
      </c>
      <c r="E6" s="55">
        <v>841.91026499999998</v>
      </c>
      <c r="F6" s="55">
        <v>698.47497399999997</v>
      </c>
      <c r="G6" s="55">
        <v>740.78853900000001</v>
      </c>
      <c r="H6" s="55">
        <v>647.35690399999999</v>
      </c>
      <c r="I6" s="55">
        <v>585.81476699999996</v>
      </c>
      <c r="J6" s="55">
        <v>698.17425900000001</v>
      </c>
      <c r="K6" s="55">
        <v>618.55028200000004</v>
      </c>
      <c r="L6" s="55">
        <v>648.95702900000003</v>
      </c>
      <c r="M6" s="56">
        <v>672.01566000000003</v>
      </c>
      <c r="N6" s="54">
        <v>718.26808300000005</v>
      </c>
      <c r="O6" s="55">
        <v>545.12088400000005</v>
      </c>
      <c r="P6" s="55">
        <v>652.10898299999997</v>
      </c>
      <c r="Q6" s="55">
        <v>478.695335</v>
      </c>
      <c r="R6" s="55">
        <v>549.47598300000004</v>
      </c>
      <c r="S6" s="55">
        <v>495.06331699999998</v>
      </c>
      <c r="T6" s="55">
        <v>690.87061700000004</v>
      </c>
      <c r="U6" s="55">
        <v>453.39227399999999</v>
      </c>
      <c r="V6" s="55">
        <v>584.932503</v>
      </c>
      <c r="W6" s="55">
        <v>511.15394199999997</v>
      </c>
      <c r="X6" s="55">
        <v>565.01231099999995</v>
      </c>
      <c r="Y6" s="56">
        <v>545.87268700000004</v>
      </c>
      <c r="Z6" s="54">
        <v>694.94547699999998</v>
      </c>
      <c r="AA6" s="55">
        <v>649.94200899999998</v>
      </c>
      <c r="AB6" s="55">
        <v>628.89284399999997</v>
      </c>
      <c r="AC6" s="55">
        <v>568.80727200000001</v>
      </c>
      <c r="AD6" s="55">
        <v>726.82534899999996</v>
      </c>
      <c r="AE6" s="55">
        <v>554.40156899999999</v>
      </c>
      <c r="AF6" s="55">
        <v>593.793274</v>
      </c>
      <c r="AG6" s="55">
        <v>536.19454299999995</v>
      </c>
      <c r="AH6" s="55">
        <v>634.098388</v>
      </c>
      <c r="AI6" s="55">
        <v>581.99157100000002</v>
      </c>
      <c r="AJ6" s="55">
        <v>791.50870399999997</v>
      </c>
      <c r="AK6" s="56">
        <v>750.16623900000002</v>
      </c>
      <c r="AL6" s="54">
        <v>749.79066499999999</v>
      </c>
      <c r="AM6" s="55">
        <v>649.39974199999995</v>
      </c>
      <c r="AN6" s="55">
        <v>754.54576099999997</v>
      </c>
      <c r="AO6" s="55">
        <v>603.69917499999997</v>
      </c>
      <c r="AP6" s="55">
        <v>722.23859100000004</v>
      </c>
      <c r="AQ6" s="55">
        <v>697.44458799999995</v>
      </c>
      <c r="AR6" s="55">
        <v>841.03189799999996</v>
      </c>
      <c r="AS6" s="55">
        <v>762.22411299999999</v>
      </c>
      <c r="AT6" s="55">
        <v>644.07005500000002</v>
      </c>
      <c r="AU6" s="55">
        <v>855.39266199999997</v>
      </c>
      <c r="AV6" s="55">
        <v>771.11264800000004</v>
      </c>
      <c r="AW6" s="56">
        <v>820.90405199999998</v>
      </c>
      <c r="AX6" s="54">
        <v>952.61652600000002</v>
      </c>
      <c r="AY6" s="55">
        <v>701.87224200000003</v>
      </c>
      <c r="AZ6" s="55">
        <v>880.18222800000001</v>
      </c>
      <c r="BA6" s="55">
        <v>748.53326600000003</v>
      </c>
      <c r="BB6" s="55">
        <v>718.13168800000005</v>
      </c>
      <c r="BC6" s="55">
        <v>634.36789199999998</v>
      </c>
      <c r="BD6" s="55">
        <v>670.79115400000001</v>
      </c>
      <c r="BE6" s="55">
        <v>686.66274199999998</v>
      </c>
      <c r="BF6" s="55">
        <v>618.78369699999996</v>
      </c>
      <c r="BG6" s="55">
        <v>769.593208</v>
      </c>
      <c r="BH6" s="55">
        <v>1113.901842</v>
      </c>
      <c r="BI6" s="56">
        <v>1390.816288</v>
      </c>
      <c r="BJ6" s="54">
        <v>1196.7598170000001</v>
      </c>
      <c r="BK6" s="55">
        <v>1121.1812729999999</v>
      </c>
      <c r="BL6" s="55">
        <v>1063.0985430000001</v>
      </c>
      <c r="BM6" s="55">
        <f>727342964/1000000</f>
        <v>727.34296400000005</v>
      </c>
      <c r="BN6" s="55">
        <v>865.2</v>
      </c>
      <c r="BO6" s="55">
        <v>537.4</v>
      </c>
      <c r="BP6" s="55">
        <v>508.5</v>
      </c>
      <c r="BQ6" s="55">
        <v>620.79999999999995</v>
      </c>
      <c r="BR6" s="55">
        <v>597.4</v>
      </c>
      <c r="BS6" s="55">
        <v>537.9</v>
      </c>
      <c r="BT6" s="55">
        <v>545.70000000000005</v>
      </c>
      <c r="BU6" s="56">
        <v>800.6</v>
      </c>
      <c r="BV6" s="54">
        <f>SUM(BV7:BV16)</f>
        <v>831.48112400000002</v>
      </c>
      <c r="BW6" s="55">
        <f t="shared" ref="BW6:CG6" si="0">SUM(BW7:BW16)</f>
        <v>934.80927200000019</v>
      </c>
      <c r="BX6" s="55">
        <f t="shared" si="0"/>
        <v>1059.5865779999999</v>
      </c>
      <c r="BY6" s="55">
        <f t="shared" si="0"/>
        <v>1008.322079</v>
      </c>
      <c r="BZ6" s="55">
        <f t="shared" si="0"/>
        <v>1151.8084840000004</v>
      </c>
      <c r="CA6" s="55">
        <f t="shared" si="0"/>
        <v>1101.7243209999997</v>
      </c>
      <c r="CB6" s="55">
        <f t="shared" si="0"/>
        <v>1361.5606639999999</v>
      </c>
      <c r="CC6" s="55">
        <f t="shared" si="0"/>
        <v>1246.377727</v>
      </c>
      <c r="CD6" s="55">
        <f t="shared" si="0"/>
        <v>1315.237922</v>
      </c>
      <c r="CE6" s="55">
        <f t="shared" si="0"/>
        <v>1336.3216029999999</v>
      </c>
      <c r="CF6" s="55">
        <f t="shared" si="0"/>
        <v>1289.410294</v>
      </c>
      <c r="CG6" s="56">
        <f t="shared" si="0"/>
        <v>1497.1644660000002</v>
      </c>
      <c r="CH6" s="54">
        <f>SUM(CH7:CH16)</f>
        <v>1312.9409149999999</v>
      </c>
      <c r="CI6" s="55">
        <f t="shared" ref="CI6:CJ6" si="1">SUM(CI7:CI16)</f>
        <v>1442.4714340000003</v>
      </c>
      <c r="CJ6" s="55">
        <f t="shared" si="1"/>
        <v>1664.5866180000003</v>
      </c>
      <c r="CK6" s="55">
        <f t="shared" ref="CK6:DE6" si="2">SUM(CK7:CK16)</f>
        <v>1740.4518419999997</v>
      </c>
      <c r="CL6" s="55">
        <f t="shared" si="2"/>
        <v>1869.2830550000003</v>
      </c>
      <c r="CM6" s="55">
        <f t="shared" si="2"/>
        <v>1793.5890290000004</v>
      </c>
      <c r="CN6" s="55">
        <f t="shared" si="2"/>
        <v>1938.6755269999999</v>
      </c>
      <c r="CO6" s="55">
        <f t="shared" si="2"/>
        <v>1713.0983990000004</v>
      </c>
      <c r="CP6" s="55">
        <f t="shared" si="2"/>
        <v>1611.4624760000002</v>
      </c>
      <c r="CQ6" s="55">
        <f t="shared" si="2"/>
        <v>1287.1335940000001</v>
      </c>
      <c r="CR6" s="55">
        <f t="shared" si="2"/>
        <v>1685.9616342999998</v>
      </c>
      <c r="CS6" s="56">
        <v>1563.961204</v>
      </c>
      <c r="CT6" s="54">
        <f t="shared" si="2"/>
        <v>1551.2367760814543</v>
      </c>
      <c r="CU6" s="55">
        <f t="shared" si="2"/>
        <v>1260.276915413162</v>
      </c>
      <c r="CV6" s="55">
        <f t="shared" si="2"/>
        <v>972.38722068648428</v>
      </c>
      <c r="CW6" s="55">
        <f t="shared" si="2"/>
        <v>762.92855582102914</v>
      </c>
      <c r="CX6" s="55">
        <f t="shared" si="2"/>
        <v>1076.2389976676341</v>
      </c>
      <c r="CY6" s="55">
        <f t="shared" si="2"/>
        <v>872.64123162120597</v>
      </c>
      <c r="CZ6" s="55">
        <f t="shared" si="2"/>
        <v>1177.1438996484114</v>
      </c>
      <c r="DA6" s="55">
        <f t="shared" si="2"/>
        <v>1449.4158730909671</v>
      </c>
      <c r="DB6" s="55">
        <f t="shared" si="2"/>
        <v>1465.7925797130158</v>
      </c>
      <c r="DC6" s="55">
        <f t="shared" si="2"/>
        <v>1369.564323931311</v>
      </c>
      <c r="DD6" s="55">
        <f t="shared" si="2"/>
        <v>1348.4211924362003</v>
      </c>
      <c r="DE6" s="56">
        <f t="shared" si="2"/>
        <v>1459.3479583319654</v>
      </c>
      <c r="DF6" s="54">
        <v>1318.4719037978018</v>
      </c>
      <c r="DG6" s="55">
        <v>1547.2505918230381</v>
      </c>
      <c r="DH6" s="55">
        <v>1402.4430645323632</v>
      </c>
      <c r="DI6" s="55">
        <v>1373.9563798253218</v>
      </c>
      <c r="DJ6" s="55">
        <v>1421.2514929535805</v>
      </c>
      <c r="DK6" s="55">
        <v>1003.9514155094208</v>
      </c>
      <c r="DL6" s="55">
        <v>1174.5952237832842</v>
      </c>
      <c r="DM6" s="55">
        <v>1257.7629835478385</v>
      </c>
      <c r="DN6" s="55">
        <v>1165.4988636812679</v>
      </c>
      <c r="DO6" s="55">
        <v>1059.6423988426848</v>
      </c>
      <c r="DP6" s="55">
        <v>1153.3935629369291</v>
      </c>
      <c r="DQ6" s="56">
        <v>1155.6489746888853</v>
      </c>
      <c r="DR6" s="57">
        <v>1229.4646230000001</v>
      </c>
      <c r="DS6" s="49">
        <v>1129.978143</v>
      </c>
      <c r="DT6" s="49">
        <v>1254.9890210000001</v>
      </c>
      <c r="DU6" s="49">
        <v>1167.1482484542544</v>
      </c>
      <c r="DV6" s="49">
        <v>1027.8892000000001</v>
      </c>
      <c r="DW6" s="49">
        <v>958.26665720717472</v>
      </c>
      <c r="DX6" s="49">
        <v>1235.8859319491805</v>
      </c>
      <c r="DY6" s="49">
        <v>1111.7437846944545</v>
      </c>
      <c r="DZ6" s="49">
        <v>1024.9590462599999</v>
      </c>
      <c r="EA6" s="56">
        <v>1147.5135129999999</v>
      </c>
      <c r="EB6" s="49"/>
      <c r="EC6" s="78"/>
    </row>
    <row r="7" spans="1:133" s="5" customFormat="1" ht="17.100000000000001" customHeight="1" x14ac:dyDescent="0.2">
      <c r="A7" s="12" t="s">
        <v>1</v>
      </c>
      <c r="B7" s="57">
        <v>0.66423200000000004</v>
      </c>
      <c r="C7" s="49">
        <v>0.29355999999999999</v>
      </c>
      <c r="D7" s="49">
        <v>0.43174800000000002</v>
      </c>
      <c r="E7" s="49">
        <v>0.95633100000000004</v>
      </c>
      <c r="F7" s="49">
        <v>0.50270999999999999</v>
      </c>
      <c r="G7" s="49">
        <v>0.52521899999999999</v>
      </c>
      <c r="H7" s="49">
        <v>0.33862199999999998</v>
      </c>
      <c r="I7" s="49">
        <v>0.72514999999999996</v>
      </c>
      <c r="J7" s="49">
        <v>0.62224699999999999</v>
      </c>
      <c r="K7" s="49">
        <v>0.51222400000000001</v>
      </c>
      <c r="L7" s="49">
        <v>0.55561300000000002</v>
      </c>
      <c r="M7" s="52">
        <v>0.85253299999999999</v>
      </c>
      <c r="N7" s="57">
        <v>0.48647099999999999</v>
      </c>
      <c r="O7" s="49">
        <v>0.36447600000000002</v>
      </c>
      <c r="P7" s="49">
        <v>0.88131099999999996</v>
      </c>
      <c r="Q7" s="49">
        <v>0.534169</v>
      </c>
      <c r="R7" s="49">
        <v>0.62936099999999995</v>
      </c>
      <c r="S7" s="49">
        <v>0.49956899999999999</v>
      </c>
      <c r="T7" s="49">
        <v>0.42869800000000002</v>
      </c>
      <c r="U7" s="49">
        <v>0.55076800000000004</v>
      </c>
      <c r="V7" s="49">
        <v>0.49263800000000002</v>
      </c>
      <c r="W7" s="49">
        <v>0.52927299999999999</v>
      </c>
      <c r="X7" s="49">
        <v>0.816658</v>
      </c>
      <c r="Y7" s="52">
        <v>2.4324059999999998</v>
      </c>
      <c r="Z7" s="57">
        <v>0.58125800000000005</v>
      </c>
      <c r="AA7" s="49">
        <v>0.41438399999999997</v>
      </c>
      <c r="AB7" s="49">
        <v>0.64656400000000003</v>
      </c>
      <c r="AC7" s="49">
        <v>0.97203099999999998</v>
      </c>
      <c r="AD7" s="49">
        <v>0.479541</v>
      </c>
      <c r="AE7" s="49">
        <v>0.78521600000000003</v>
      </c>
      <c r="AF7" s="49">
        <v>0.95057400000000003</v>
      </c>
      <c r="AG7" s="49">
        <v>0.50709400000000004</v>
      </c>
      <c r="AH7" s="49">
        <v>1.683209</v>
      </c>
      <c r="AI7" s="49">
        <v>1.4326399999999999</v>
      </c>
      <c r="AJ7" s="49">
        <v>1.627297</v>
      </c>
      <c r="AK7" s="52">
        <v>1.26328</v>
      </c>
      <c r="AL7" s="57">
        <v>1.361639</v>
      </c>
      <c r="AM7" s="49">
        <v>0.89330799999999999</v>
      </c>
      <c r="AN7" s="49">
        <v>1.208655</v>
      </c>
      <c r="AO7" s="49">
        <v>1.180342</v>
      </c>
      <c r="AP7" s="49">
        <v>2.4156810000000002</v>
      </c>
      <c r="AQ7" s="49">
        <v>1.7978639999999999</v>
      </c>
      <c r="AR7" s="49">
        <v>2.2157279999999999</v>
      </c>
      <c r="AS7" s="49">
        <v>1.1644159999999999</v>
      </c>
      <c r="AT7" s="49">
        <v>1.214102</v>
      </c>
      <c r="AU7" s="49">
        <v>1.6223939999999999</v>
      </c>
      <c r="AV7" s="49">
        <v>1.485825</v>
      </c>
      <c r="AW7" s="52">
        <v>1.0139020000000001</v>
      </c>
      <c r="AX7" s="57">
        <v>1.1576420000000001</v>
      </c>
      <c r="AY7" s="49">
        <v>0.40892499999999998</v>
      </c>
      <c r="AZ7" s="49">
        <v>1.2366600000000001</v>
      </c>
      <c r="BA7" s="49">
        <v>1.7655559999999999</v>
      </c>
      <c r="BB7" s="49">
        <v>1.779593</v>
      </c>
      <c r="BC7" s="49">
        <v>0.87351500000000004</v>
      </c>
      <c r="BD7" s="49">
        <v>1.4783470000000001</v>
      </c>
      <c r="BE7" s="49">
        <v>1.2373320000000001</v>
      </c>
      <c r="BF7" s="49">
        <v>1.221061</v>
      </c>
      <c r="BG7" s="49">
        <v>1.0620769999999999</v>
      </c>
      <c r="BH7" s="49">
        <v>1.1970689999999999</v>
      </c>
      <c r="BI7" s="52">
        <v>0.49972899999999998</v>
      </c>
      <c r="BJ7" s="57">
        <v>0.16434199999999999</v>
      </c>
      <c r="BK7" s="49">
        <v>0.80410400000000004</v>
      </c>
      <c r="BL7" s="49">
        <v>0.83992500000000003</v>
      </c>
      <c r="BM7" s="49">
        <f>1335922/1000000</f>
        <v>1.3359220000000001</v>
      </c>
      <c r="BN7" s="49">
        <f>4778466/1000000</f>
        <v>4.7784659999999999</v>
      </c>
      <c r="BO7" s="49">
        <f>1831313/1000000</f>
        <v>1.831313</v>
      </c>
      <c r="BP7" s="49">
        <f>1242963/1000000</f>
        <v>1.242963</v>
      </c>
      <c r="BQ7" s="49">
        <f>339353/1000000</f>
        <v>0.33935300000000002</v>
      </c>
      <c r="BR7" s="49">
        <f>476252/1000000</f>
        <v>0.47625200000000001</v>
      </c>
      <c r="BS7" s="49">
        <v>0.2</v>
      </c>
      <c r="BT7" s="49">
        <f>1588381/1000000</f>
        <v>1.588381</v>
      </c>
      <c r="BU7" s="52">
        <f>489148/1000000</f>
        <v>0.48914800000000003</v>
      </c>
      <c r="BV7" s="57">
        <v>0.31394699999999998</v>
      </c>
      <c r="BW7" s="49">
        <f>2683854/1000000</f>
        <v>2.6838540000000002</v>
      </c>
      <c r="BX7" s="49">
        <f>1886026/1000000</f>
        <v>1.886026</v>
      </c>
      <c r="BY7" s="49">
        <f>2528184/1000000</f>
        <v>2.528184</v>
      </c>
      <c r="BZ7" s="49">
        <f>3485053/1000000</f>
        <v>3.4850530000000002</v>
      </c>
      <c r="CA7" s="49">
        <f>4681281/1000000</f>
        <v>4.6812810000000002</v>
      </c>
      <c r="CB7" s="49">
        <f>3243145/1000000</f>
        <v>3.2431450000000002</v>
      </c>
      <c r="CC7" s="49">
        <f>3935699/1000000</f>
        <v>3.9356990000000001</v>
      </c>
      <c r="CD7" s="49">
        <f>6626856/1000000</f>
        <v>6.6268560000000001</v>
      </c>
      <c r="CE7" s="49">
        <f>4661601/1000000</f>
        <v>4.6616010000000001</v>
      </c>
      <c r="CF7" s="49">
        <f>8577007/1000000</f>
        <v>8.577007</v>
      </c>
      <c r="CG7" s="52">
        <f>9624513/1000000</f>
        <v>9.6245130000000003</v>
      </c>
      <c r="CH7" s="57">
        <v>4.8383120000000002</v>
      </c>
      <c r="CI7" s="49">
        <f>2241112/1000000</f>
        <v>2.2411120000000002</v>
      </c>
      <c r="CJ7" s="49">
        <f>4756983/1000000</f>
        <v>4.756983</v>
      </c>
      <c r="CK7" s="49">
        <v>5.4353109999999996</v>
      </c>
      <c r="CL7" s="49">
        <v>5.0135740000000002</v>
      </c>
      <c r="CM7" s="49">
        <v>4.533512</v>
      </c>
      <c r="CN7" s="49">
        <v>4.9472370000000003</v>
      </c>
      <c r="CO7" s="49">
        <v>4.9803100000000002</v>
      </c>
      <c r="CP7" s="49">
        <v>6.9947949999999999</v>
      </c>
      <c r="CQ7" s="49">
        <v>6.6580640000000004</v>
      </c>
      <c r="CR7" s="49">
        <v>5.8820709999999998</v>
      </c>
      <c r="CS7" s="52">
        <v>4.3262390000000002</v>
      </c>
      <c r="CT7" s="57">
        <v>2.5883280799999997</v>
      </c>
      <c r="CU7" s="49">
        <v>1.3734444200000002</v>
      </c>
      <c r="CV7" s="49">
        <v>1.8265734300000003</v>
      </c>
      <c r="CW7" s="49">
        <v>2.7941788899999986</v>
      </c>
      <c r="CX7" s="49">
        <v>2.9001418700000001</v>
      </c>
      <c r="CY7" s="49">
        <v>2.9262258799999992</v>
      </c>
      <c r="CZ7" s="49">
        <v>2.1239985099999994</v>
      </c>
      <c r="DA7" s="49">
        <v>2.5834890599999998</v>
      </c>
      <c r="DB7" s="49">
        <v>3.0152894500000009</v>
      </c>
      <c r="DC7" s="49">
        <v>0.46006418000000016</v>
      </c>
      <c r="DD7" s="49">
        <v>1.2941544699999996</v>
      </c>
      <c r="DE7" s="52">
        <v>1.2261626000000001</v>
      </c>
      <c r="DF7" s="57">
        <v>1.4724938199999997</v>
      </c>
      <c r="DG7" s="49">
        <v>0.64963685999999987</v>
      </c>
      <c r="DH7" s="49">
        <v>0.74275269000000033</v>
      </c>
      <c r="DI7" s="49">
        <v>1.2933076500000005</v>
      </c>
      <c r="DJ7" s="49">
        <v>1.2606134900000001</v>
      </c>
      <c r="DK7" s="49">
        <v>1.152292140000001</v>
      </c>
      <c r="DL7" s="49">
        <v>1.1741496499999995</v>
      </c>
      <c r="DM7" s="49">
        <v>0.95756151999999994</v>
      </c>
      <c r="DN7" s="49">
        <v>0.70953162000000003</v>
      </c>
      <c r="DO7" s="49">
        <v>1.5240698699999993</v>
      </c>
      <c r="DP7" s="49">
        <v>1.8783157699999995</v>
      </c>
      <c r="DQ7" s="52">
        <v>2.2203202500000008</v>
      </c>
      <c r="DR7" s="57">
        <v>0.84599800000000003</v>
      </c>
      <c r="DS7" s="49">
        <v>1.6074550000000001</v>
      </c>
      <c r="DT7" s="49">
        <v>1.6389320000000001</v>
      </c>
      <c r="DU7" s="49">
        <v>2</v>
      </c>
      <c r="DV7" s="49">
        <v>1.9360139999999999</v>
      </c>
      <c r="DW7" s="76" t="s">
        <v>55</v>
      </c>
      <c r="DX7" s="76" t="s">
        <v>55</v>
      </c>
      <c r="DY7" s="76">
        <v>1.1533186100000001</v>
      </c>
      <c r="DZ7" s="76">
        <v>0.7983574499999998</v>
      </c>
      <c r="EA7" s="52">
        <v>1.439746</v>
      </c>
      <c r="EB7" s="49"/>
      <c r="EC7" s="69"/>
    </row>
    <row r="8" spans="1:133" s="5" customFormat="1" ht="17.100000000000001" customHeight="1" x14ac:dyDescent="0.2">
      <c r="A8" s="12" t="s">
        <v>2</v>
      </c>
      <c r="B8" s="57">
        <v>0.24868699999999999</v>
      </c>
      <c r="C8" s="49">
        <v>0.32985799999999998</v>
      </c>
      <c r="D8" s="49">
        <v>0.43637399999999998</v>
      </c>
      <c r="E8" s="49">
        <v>0.152228</v>
      </c>
      <c r="F8" s="49">
        <v>0.283306</v>
      </c>
      <c r="G8" s="49">
        <v>8.4996000000000002E-2</v>
      </c>
      <c r="H8" s="49">
        <v>0.20383899999999999</v>
      </c>
      <c r="I8" s="49">
        <v>0.24369099999999999</v>
      </c>
      <c r="J8" s="49">
        <v>0.146205</v>
      </c>
      <c r="K8" s="49">
        <v>0.115734</v>
      </c>
      <c r="L8" s="49">
        <v>0.28386400000000001</v>
      </c>
      <c r="M8" s="52">
        <v>0.14103499999999999</v>
      </c>
      <c r="N8" s="57">
        <v>0.139732</v>
      </c>
      <c r="O8" s="49">
        <v>0.13611000000000001</v>
      </c>
      <c r="P8" s="49">
        <v>0.13908799999999999</v>
      </c>
      <c r="Q8" s="49">
        <v>0.15876100000000001</v>
      </c>
      <c r="R8" s="49">
        <v>0.215447</v>
      </c>
      <c r="S8" s="49">
        <v>1.0777E-2</v>
      </c>
      <c r="T8" s="49">
        <v>0.36286200000000002</v>
      </c>
      <c r="U8" s="49">
        <v>0.266847</v>
      </c>
      <c r="V8" s="49">
        <v>0.126416</v>
      </c>
      <c r="W8" s="49">
        <v>0.22811200000000001</v>
      </c>
      <c r="X8" s="49">
        <v>0.317247</v>
      </c>
      <c r="Y8" s="52">
        <v>0.33693499999999998</v>
      </c>
      <c r="Z8" s="57">
        <v>0.30680400000000002</v>
      </c>
      <c r="AA8" s="49">
        <v>0.56808800000000004</v>
      </c>
      <c r="AB8" s="49">
        <v>0.61814400000000003</v>
      </c>
      <c r="AC8" s="49">
        <v>0.630162</v>
      </c>
      <c r="AD8" s="49">
        <v>0.32201400000000002</v>
      </c>
      <c r="AE8" s="49">
        <v>5.2329999999999998E-3</v>
      </c>
      <c r="AF8" s="49">
        <v>0.10258</v>
      </c>
      <c r="AG8" s="49">
        <v>0.216086</v>
      </c>
      <c r="AH8" s="49">
        <v>9.6547999999999995E-2</v>
      </c>
      <c r="AI8" s="49">
        <v>0.32447799999999999</v>
      </c>
      <c r="AJ8" s="49">
        <v>0.14988699999999999</v>
      </c>
      <c r="AK8" s="52">
        <v>5.9680000000000002E-3</v>
      </c>
      <c r="AL8" s="57">
        <v>1.3429999999999999E-2</v>
      </c>
      <c r="AM8" s="49">
        <v>6.502E-3</v>
      </c>
      <c r="AN8" s="49">
        <v>1.2845000000000001E-2</v>
      </c>
      <c r="AO8" s="49">
        <v>1.7004999999999999E-2</v>
      </c>
      <c r="AP8" s="49">
        <v>1.0134000000000001E-2</v>
      </c>
      <c r="AQ8" s="49">
        <v>2.0434999999999998E-2</v>
      </c>
      <c r="AR8" s="49">
        <v>2.3266999999999999E-2</v>
      </c>
      <c r="AS8" s="49">
        <v>8.1869999999999998E-2</v>
      </c>
      <c r="AT8" s="49">
        <v>4.4221999999999997E-2</v>
      </c>
      <c r="AU8" s="49">
        <v>6.0809999999999996E-3</v>
      </c>
      <c r="AV8" s="49">
        <v>1.2378999999999999E-2</v>
      </c>
      <c r="AW8" s="52">
        <v>6.6579999999999999E-3</v>
      </c>
      <c r="AX8" s="57">
        <v>1.4402E-2</v>
      </c>
      <c r="AY8" s="49">
        <v>6.5199999999999998E-3</v>
      </c>
      <c r="AZ8" s="49">
        <v>2.6480000000000002E-3</v>
      </c>
      <c r="BA8" s="49">
        <v>1.3143999999999999E-2</v>
      </c>
      <c r="BB8" s="49">
        <v>2.0094999999999998E-2</v>
      </c>
      <c r="BC8" s="49">
        <v>6.4130000000000003E-3</v>
      </c>
      <c r="BD8" s="49">
        <v>4.3489999999999996E-3</v>
      </c>
      <c r="BE8" s="49">
        <v>5.4149999999999997E-3</v>
      </c>
      <c r="BF8" s="49">
        <v>6.9160000000000003E-3</v>
      </c>
      <c r="BG8" s="49">
        <v>5.9930000000000001E-3</v>
      </c>
      <c r="BH8" s="49">
        <v>5.7679999999999997E-3</v>
      </c>
      <c r="BI8" s="52">
        <v>3.9588999999999999E-2</v>
      </c>
      <c r="BJ8" s="57">
        <v>4.6369999999999996E-3</v>
      </c>
      <c r="BK8" s="49">
        <v>8.6049999999999998E-3</v>
      </c>
      <c r="BL8" s="49">
        <v>6.6E-4</v>
      </c>
      <c r="BM8" s="49">
        <f>1620/1000000</f>
        <v>1.6199999999999999E-3</v>
      </c>
      <c r="BN8" s="49">
        <f>3679/1000000</f>
        <v>3.679E-3</v>
      </c>
      <c r="BO8" s="49">
        <f>6076/1000000</f>
        <v>6.0759999999999998E-3</v>
      </c>
      <c r="BP8" s="49" t="s">
        <v>29</v>
      </c>
      <c r="BQ8" s="49">
        <f>79/1000000</f>
        <v>7.8999999999999996E-5</v>
      </c>
      <c r="BR8" s="49">
        <f>6588/1000000</f>
        <v>6.5880000000000001E-3</v>
      </c>
      <c r="BS8" s="49">
        <v>0</v>
      </c>
      <c r="BT8" s="49">
        <f>25467/1000000</f>
        <v>2.5467E-2</v>
      </c>
      <c r="BU8" s="52">
        <f>832/1000000</f>
        <v>8.3199999999999995E-4</v>
      </c>
      <c r="BV8" s="57">
        <f>22133/1000000</f>
        <v>2.2133E-2</v>
      </c>
      <c r="BW8" s="49">
        <f>6546/1000000</f>
        <v>6.5459999999999997E-3</v>
      </c>
      <c r="BX8" s="49">
        <f>20133/1000000</f>
        <v>2.0133000000000002E-2</v>
      </c>
      <c r="BY8" s="49">
        <f>3763/1000000</f>
        <v>3.7629999999999999E-3</v>
      </c>
      <c r="BZ8" s="49">
        <f>10998/1000000</f>
        <v>1.0998000000000001E-2</v>
      </c>
      <c r="CA8" s="49">
        <f>33426/1000000</f>
        <v>3.3425999999999997E-2</v>
      </c>
      <c r="CB8" s="49">
        <f>7662/1000000</f>
        <v>7.6620000000000004E-3</v>
      </c>
      <c r="CC8" s="49">
        <f>29313/1000000</f>
        <v>2.9312999999999999E-2</v>
      </c>
      <c r="CD8" s="49">
        <f>21023/1000000</f>
        <v>2.1023E-2</v>
      </c>
      <c r="CE8" s="49">
        <f>22955/1000000</f>
        <v>2.2955E-2</v>
      </c>
      <c r="CF8" s="49">
        <f>17036/1000000</f>
        <v>1.7035999999999999E-2</v>
      </c>
      <c r="CG8" s="52">
        <f>12509/1000000</f>
        <v>1.2508999999999999E-2</v>
      </c>
      <c r="CH8" s="57">
        <v>2.4580999999999999E-2</v>
      </c>
      <c r="CI8" s="49">
        <f>14826/1000000</f>
        <v>1.4826000000000001E-2</v>
      </c>
      <c r="CJ8" s="49">
        <f>47091/1000000</f>
        <v>4.7091000000000001E-2</v>
      </c>
      <c r="CK8" s="49">
        <v>4.9886E-2</v>
      </c>
      <c r="CL8" s="49">
        <v>5.4749999999999998E-3</v>
      </c>
      <c r="CM8" s="49">
        <v>3.3225999999999999E-2</v>
      </c>
      <c r="CN8" s="49">
        <v>1.9838999999999999E-2</v>
      </c>
      <c r="CO8" s="49">
        <v>2.8545999999999998E-2</v>
      </c>
      <c r="CP8" s="49">
        <v>4.4380000000000001E-3</v>
      </c>
      <c r="CQ8" s="49">
        <v>2.3966000000000001E-2</v>
      </c>
      <c r="CR8" s="49">
        <v>2.3599999999999999E-4</v>
      </c>
      <c r="CS8" s="52">
        <v>8.8950000000000001E-3</v>
      </c>
      <c r="CT8" s="57">
        <v>1.0196000000000001E-4</v>
      </c>
      <c r="CU8" s="49">
        <v>2.5970700000000003E-2</v>
      </c>
      <c r="CV8" s="49">
        <v>2.8765300000000004E-2</v>
      </c>
      <c r="CW8" s="49">
        <v>5.0217700000000001E-3</v>
      </c>
      <c r="CX8" s="49">
        <v>8.2851060000000018E-2</v>
      </c>
      <c r="CY8" s="49">
        <v>6.8442000000000004E-4</v>
      </c>
      <c r="CZ8" s="49">
        <v>1.109007E-2</v>
      </c>
      <c r="DA8" s="49">
        <v>2.3622999999999998E-4</v>
      </c>
      <c r="DB8" s="49">
        <v>2.2951579999999999E-2</v>
      </c>
      <c r="DC8" s="49">
        <v>4.0816000000000002E-4</v>
      </c>
      <c r="DD8" s="49">
        <v>1.4527240000000002E-2</v>
      </c>
      <c r="DE8" s="52">
        <v>5.0092900000000004E-3</v>
      </c>
      <c r="DF8" s="57">
        <v>2.9946E-3</v>
      </c>
      <c r="DG8" s="49">
        <v>5.1940000000000008E-5</v>
      </c>
      <c r="DH8" s="49">
        <v>1.1378590000000001E-2</v>
      </c>
      <c r="DI8" s="49">
        <v>7.2334999999999999E-4</v>
      </c>
      <c r="DJ8" s="49">
        <v>4.3162000000000009E-3</v>
      </c>
      <c r="DK8" s="49">
        <v>1.3248439999999998E-2</v>
      </c>
      <c r="DL8" s="49">
        <v>1.2679999999999999E-4</v>
      </c>
      <c r="DM8" s="49">
        <v>5.5606000000000006E-3</v>
      </c>
      <c r="DN8" s="49">
        <v>5.2536000000000006E-3</v>
      </c>
      <c r="DO8" s="49">
        <v>1.4462600000000001E-2</v>
      </c>
      <c r="DP8" s="49">
        <v>2.4284899999999993E-3</v>
      </c>
      <c r="DQ8" s="52">
        <v>5.7600000000000004E-5</v>
      </c>
      <c r="DR8" s="57">
        <v>3.0186999999999999E-2</v>
      </c>
      <c r="DS8" s="49">
        <v>2.6389999999999999E-3</v>
      </c>
      <c r="DT8" s="49">
        <v>3.2980000000000002E-3</v>
      </c>
      <c r="DU8" s="49">
        <v>3.7569400000000007E-3</v>
      </c>
      <c r="DV8" s="49">
        <v>4.5899999999999999E-4</v>
      </c>
      <c r="DW8" s="76" t="s">
        <v>55</v>
      </c>
      <c r="DX8" s="76" t="s">
        <v>55</v>
      </c>
      <c r="DY8" s="76">
        <v>1.6722E-3</v>
      </c>
      <c r="DZ8" s="76">
        <v>5.5558999999999999E-3</v>
      </c>
      <c r="EA8" s="52">
        <v>3.8779999999999999E-3</v>
      </c>
      <c r="EB8" s="49"/>
      <c r="EC8" s="69"/>
    </row>
    <row r="9" spans="1:133" s="5" customFormat="1" ht="17.100000000000001" customHeight="1" x14ac:dyDescent="0.2">
      <c r="A9" s="12" t="s">
        <v>9</v>
      </c>
      <c r="B9" s="57">
        <v>1.3833519999999999</v>
      </c>
      <c r="C9" s="49">
        <v>0.56358399999999997</v>
      </c>
      <c r="D9" s="49">
        <v>0.69568399999999997</v>
      </c>
      <c r="E9" s="49">
        <v>1.1703170000000001</v>
      </c>
      <c r="F9" s="49">
        <v>1.634125</v>
      </c>
      <c r="G9" s="49">
        <v>1.67709</v>
      </c>
      <c r="H9" s="49">
        <v>1.039668</v>
      </c>
      <c r="I9" s="49">
        <v>0.73304800000000003</v>
      </c>
      <c r="J9" s="49">
        <v>1.318754</v>
      </c>
      <c r="K9" s="49">
        <v>1.106744</v>
      </c>
      <c r="L9" s="49">
        <v>0.97867599999999999</v>
      </c>
      <c r="M9" s="52">
        <v>0.50541100000000005</v>
      </c>
      <c r="N9" s="57">
        <v>1.9581120000000001</v>
      </c>
      <c r="O9" s="49">
        <v>1.007876</v>
      </c>
      <c r="P9" s="49">
        <v>2.4209879999999999</v>
      </c>
      <c r="Q9" s="49">
        <v>1.7340599999999999</v>
      </c>
      <c r="R9" s="49">
        <v>2.631386</v>
      </c>
      <c r="S9" s="49">
        <v>1.401108</v>
      </c>
      <c r="T9" s="49">
        <v>1.9605030000000001</v>
      </c>
      <c r="U9" s="49">
        <v>2.2256290000000001</v>
      </c>
      <c r="V9" s="49">
        <v>1.9756549999999999</v>
      </c>
      <c r="W9" s="49">
        <v>2.7501159999999998</v>
      </c>
      <c r="X9" s="49">
        <v>2.9467449999999999</v>
      </c>
      <c r="Y9" s="52">
        <v>0.79788400000000004</v>
      </c>
      <c r="Z9" s="57">
        <v>0.764158</v>
      </c>
      <c r="AA9" s="49">
        <v>1.7567980000000001</v>
      </c>
      <c r="AB9" s="49">
        <v>1.216693</v>
      </c>
      <c r="AC9" s="49">
        <v>3.1369020000000001</v>
      </c>
      <c r="AD9" s="49">
        <v>2.7755030000000001</v>
      </c>
      <c r="AE9" s="49">
        <v>3.0907629999999999</v>
      </c>
      <c r="AF9" s="49">
        <v>1.1509799999999999</v>
      </c>
      <c r="AG9" s="49">
        <v>2.063885</v>
      </c>
      <c r="AH9" s="49">
        <v>2.1914259999999999</v>
      </c>
      <c r="AI9" s="49">
        <v>1.2384189999999999</v>
      </c>
      <c r="AJ9" s="49">
        <v>1.4372</v>
      </c>
      <c r="AK9" s="52">
        <v>2.0617559999999999</v>
      </c>
      <c r="AL9" s="57">
        <v>2.5988829999999998</v>
      </c>
      <c r="AM9" s="49">
        <v>1.03992</v>
      </c>
      <c r="AN9" s="49">
        <v>2.881596</v>
      </c>
      <c r="AO9" s="49">
        <v>1.1959599999999999</v>
      </c>
      <c r="AP9" s="49">
        <v>2.6273240000000002</v>
      </c>
      <c r="AQ9" s="49">
        <v>1.274095</v>
      </c>
      <c r="AR9" s="49">
        <v>2.6603340000000002</v>
      </c>
      <c r="AS9" s="49">
        <v>2.419743</v>
      </c>
      <c r="AT9" s="49">
        <v>2.8663210000000001</v>
      </c>
      <c r="AU9" s="49">
        <v>3.9501629999999999</v>
      </c>
      <c r="AV9" s="49">
        <v>0.76369299999999996</v>
      </c>
      <c r="AW9" s="52">
        <v>1.834541</v>
      </c>
      <c r="AX9" s="57">
        <v>0.99941199999999997</v>
      </c>
      <c r="AY9" s="49">
        <v>2.6058870000000001</v>
      </c>
      <c r="AZ9" s="49">
        <v>3.5778490000000001</v>
      </c>
      <c r="BA9" s="49">
        <v>2.0260389999999999</v>
      </c>
      <c r="BB9" s="49">
        <v>4.7955880000000004</v>
      </c>
      <c r="BC9" s="49">
        <v>1.8944650000000001</v>
      </c>
      <c r="BD9" s="49">
        <v>3.152218</v>
      </c>
      <c r="BE9" s="49">
        <v>3.7165680000000001</v>
      </c>
      <c r="BF9" s="49">
        <v>4.2494750000000003</v>
      </c>
      <c r="BG9" s="49">
        <v>2.5367389999999999</v>
      </c>
      <c r="BH9" s="49">
        <v>2.4619710000000001</v>
      </c>
      <c r="BI9" s="52">
        <v>0.51422000000000001</v>
      </c>
      <c r="BJ9" s="57">
        <v>0.384959</v>
      </c>
      <c r="BK9" s="49">
        <v>0.79083700000000001</v>
      </c>
      <c r="BL9" s="49">
        <v>0.47706700000000002</v>
      </c>
      <c r="BM9" s="49">
        <f>552678/1000000</f>
        <v>0.552678</v>
      </c>
      <c r="BN9" s="49">
        <f>407120/1000000</f>
        <v>0.40711999999999998</v>
      </c>
      <c r="BO9" s="49">
        <f>201804/1000000</f>
        <v>0.20180400000000001</v>
      </c>
      <c r="BP9" s="49">
        <f>247219/1000000</f>
        <v>0.24721899999999999</v>
      </c>
      <c r="BQ9" s="49">
        <f>258527/1000000</f>
        <v>0.25852700000000001</v>
      </c>
      <c r="BR9" s="49">
        <f>1054909/1000000</f>
        <v>1.0549090000000001</v>
      </c>
      <c r="BS9" s="49">
        <v>1.8</v>
      </c>
      <c r="BT9" s="49">
        <f>907296/1000000</f>
        <v>0.90729599999999999</v>
      </c>
      <c r="BU9" s="52">
        <f>1555346/1000000</f>
        <v>1.5553459999999999</v>
      </c>
      <c r="BV9" s="57">
        <v>1.5557730000000001</v>
      </c>
      <c r="BW9" s="49">
        <v>4.9656479999999998</v>
      </c>
      <c r="BX9" s="49">
        <v>3.2454879999999999</v>
      </c>
      <c r="BY9" s="49">
        <v>2.10242</v>
      </c>
      <c r="BZ9" s="49">
        <v>3.634754</v>
      </c>
      <c r="CA9" s="49">
        <v>3.2147320000000001</v>
      </c>
      <c r="CB9" s="49">
        <v>2.2335240000000001</v>
      </c>
      <c r="CC9" s="49">
        <v>3.0405150000000001</v>
      </c>
      <c r="CD9" s="49">
        <v>5.2011830000000003</v>
      </c>
      <c r="CE9" s="49">
        <v>2.4841579999999999</v>
      </c>
      <c r="CF9" s="49">
        <v>4.1205160000000003</v>
      </c>
      <c r="CG9" s="52">
        <v>5.0399260000000004</v>
      </c>
      <c r="CH9" s="57">
        <v>3.6605490000000001</v>
      </c>
      <c r="CI9" s="49">
        <f>1154872/1000000</f>
        <v>1.1548719999999999</v>
      </c>
      <c r="CJ9" s="49">
        <f>4416104/1000000</f>
        <v>4.4161039999999998</v>
      </c>
      <c r="CK9" s="49">
        <v>5.8331419999999996</v>
      </c>
      <c r="CL9" s="49">
        <v>4.1959710000000001</v>
      </c>
      <c r="CM9" s="49">
        <v>6.3417669999999999</v>
      </c>
      <c r="CN9" s="49">
        <v>1.906534</v>
      </c>
      <c r="CO9" s="49">
        <v>2.5875509999999999</v>
      </c>
      <c r="CP9" s="49">
        <v>2.6893180000000001</v>
      </c>
      <c r="CQ9" s="49">
        <v>1.075793</v>
      </c>
      <c r="CR9" s="49">
        <v>3.3182499999999999</v>
      </c>
      <c r="CS9" s="52">
        <v>1.525012</v>
      </c>
      <c r="CT9" s="57">
        <v>3.5895057000000001</v>
      </c>
      <c r="CU9" s="49">
        <v>1.71147512</v>
      </c>
      <c r="CV9" s="49">
        <v>2.2724659200000001</v>
      </c>
      <c r="CW9" s="49">
        <v>2.1103774199999998</v>
      </c>
      <c r="CX9" s="49">
        <v>1.2639124903513601</v>
      </c>
      <c r="CY9" s="49">
        <v>0.64389394999639993</v>
      </c>
      <c r="CZ9" s="49">
        <v>1.216147940386</v>
      </c>
      <c r="DA9" s="49">
        <v>1.242822547342</v>
      </c>
      <c r="DB9" s="49">
        <v>1.05832009</v>
      </c>
      <c r="DC9" s="49">
        <v>1.435752491078</v>
      </c>
      <c r="DD9" s="49">
        <v>0.99983242722549992</v>
      </c>
      <c r="DE9" s="52">
        <v>1.2728342689627499</v>
      </c>
      <c r="DF9" s="57">
        <v>1.5550330180209997</v>
      </c>
      <c r="DG9" s="49">
        <v>1.74452012738</v>
      </c>
      <c r="DH9" s="49">
        <v>2.2894139668948998</v>
      </c>
      <c r="DI9" s="49">
        <v>1.1494786013179998</v>
      </c>
      <c r="DJ9" s="49">
        <v>1.2204465762280001</v>
      </c>
      <c r="DK9" s="49">
        <v>1.216795322836</v>
      </c>
      <c r="DL9" s="49">
        <v>1.0702581207860002</v>
      </c>
      <c r="DM9" s="49">
        <v>1.1903610462065004</v>
      </c>
      <c r="DN9" s="49">
        <v>1.4768054252338803</v>
      </c>
      <c r="DO9" s="49">
        <v>1.7882829617187601</v>
      </c>
      <c r="DP9" s="49">
        <v>1.8068384191839997</v>
      </c>
      <c r="DQ9" s="52">
        <v>1.9023273030480001</v>
      </c>
      <c r="DR9" s="57">
        <v>2.6582330000000001</v>
      </c>
      <c r="DS9" s="49">
        <v>1.551604</v>
      </c>
      <c r="DT9" s="49">
        <v>1.639821</v>
      </c>
      <c r="DU9" s="49">
        <v>3.0967370817149886</v>
      </c>
      <c r="DV9" s="49">
        <v>2.8383219999999998</v>
      </c>
      <c r="DW9" s="76" t="s">
        <v>55</v>
      </c>
      <c r="DX9" s="76" t="s">
        <v>55</v>
      </c>
      <c r="DY9" s="76">
        <v>2.338096367723776</v>
      </c>
      <c r="DZ9" s="76">
        <v>2.4730259999999999</v>
      </c>
      <c r="EA9" s="52">
        <v>2.650455</v>
      </c>
      <c r="EB9" s="49"/>
      <c r="EC9" s="69"/>
    </row>
    <row r="10" spans="1:133" s="5" customFormat="1" ht="17.100000000000001" customHeight="1" x14ac:dyDescent="0.2">
      <c r="A10" s="12" t="s">
        <v>3</v>
      </c>
      <c r="B10" s="57">
        <v>884.48785499999997</v>
      </c>
      <c r="C10" s="49">
        <v>749.75358100000005</v>
      </c>
      <c r="D10" s="49">
        <v>713.03507300000001</v>
      </c>
      <c r="E10" s="49">
        <v>810.32905000000005</v>
      </c>
      <c r="F10" s="49">
        <v>667.02105800000004</v>
      </c>
      <c r="G10" s="49">
        <v>696.56491300000005</v>
      </c>
      <c r="H10" s="49">
        <v>593.41508499999998</v>
      </c>
      <c r="I10" s="49">
        <v>548.22132599999998</v>
      </c>
      <c r="J10" s="49">
        <v>652.36969899999997</v>
      </c>
      <c r="K10" s="49">
        <v>550.65265699999998</v>
      </c>
      <c r="L10" s="49">
        <v>617.16585599999996</v>
      </c>
      <c r="M10" s="52">
        <v>619.91669300000001</v>
      </c>
      <c r="N10" s="57">
        <v>662.84033299999999</v>
      </c>
      <c r="O10" s="49">
        <v>508.60745200000002</v>
      </c>
      <c r="P10" s="49">
        <v>556.64521000000002</v>
      </c>
      <c r="Q10" s="49">
        <v>421.67352199999999</v>
      </c>
      <c r="R10" s="49">
        <v>486.33501899999999</v>
      </c>
      <c r="S10" s="49">
        <v>449.32222899999999</v>
      </c>
      <c r="T10" s="49">
        <v>485.58766900000001</v>
      </c>
      <c r="U10" s="49">
        <v>379.49687699999998</v>
      </c>
      <c r="V10" s="49">
        <v>533.61992299999997</v>
      </c>
      <c r="W10" s="49">
        <v>480.48272400000002</v>
      </c>
      <c r="X10" s="49">
        <v>527.74106800000004</v>
      </c>
      <c r="Y10" s="52">
        <v>481.252253</v>
      </c>
      <c r="Z10" s="57">
        <v>644.53442600000005</v>
      </c>
      <c r="AA10" s="49">
        <v>609.39435000000003</v>
      </c>
      <c r="AB10" s="49">
        <v>569.06134199999997</v>
      </c>
      <c r="AC10" s="49">
        <v>510.11310800000001</v>
      </c>
      <c r="AD10" s="49">
        <v>631.92743599999994</v>
      </c>
      <c r="AE10" s="49">
        <v>512.38727700000004</v>
      </c>
      <c r="AF10" s="49">
        <v>541.61411199999998</v>
      </c>
      <c r="AG10" s="49">
        <v>480.71530899999999</v>
      </c>
      <c r="AH10" s="49">
        <v>601.97280599999999</v>
      </c>
      <c r="AI10" s="49">
        <v>532.87002600000005</v>
      </c>
      <c r="AJ10" s="49">
        <v>585.05683299999998</v>
      </c>
      <c r="AK10" s="52">
        <v>687.39262599999995</v>
      </c>
      <c r="AL10" s="57">
        <v>685.99587499999996</v>
      </c>
      <c r="AM10" s="49">
        <v>595.87441100000001</v>
      </c>
      <c r="AN10" s="49">
        <v>690.24955799999998</v>
      </c>
      <c r="AO10" s="49">
        <v>545.83244400000001</v>
      </c>
      <c r="AP10" s="49">
        <v>666.75386000000003</v>
      </c>
      <c r="AQ10" s="49">
        <v>658.182322</v>
      </c>
      <c r="AR10" s="49">
        <v>748.35544900000002</v>
      </c>
      <c r="AS10" s="49">
        <v>703.11509699999999</v>
      </c>
      <c r="AT10" s="49">
        <v>567.47865300000001</v>
      </c>
      <c r="AU10" s="49">
        <v>769.25671799999998</v>
      </c>
      <c r="AV10" s="49">
        <v>682.32684200000006</v>
      </c>
      <c r="AW10" s="52">
        <v>759.49251300000003</v>
      </c>
      <c r="AX10" s="57">
        <v>850.53976299999999</v>
      </c>
      <c r="AY10" s="49">
        <v>658.98861399999998</v>
      </c>
      <c r="AZ10" s="49">
        <v>813.90432599999997</v>
      </c>
      <c r="BA10" s="49">
        <v>688.87569199999996</v>
      </c>
      <c r="BB10" s="49">
        <v>638.50350000000003</v>
      </c>
      <c r="BC10" s="49">
        <v>555.93895899999995</v>
      </c>
      <c r="BD10" s="49">
        <v>591.70207500000004</v>
      </c>
      <c r="BE10" s="49">
        <v>631.31122400000004</v>
      </c>
      <c r="BF10" s="49">
        <v>567.13803800000005</v>
      </c>
      <c r="BG10" s="49">
        <v>702.21348599999999</v>
      </c>
      <c r="BH10" s="49">
        <v>1024.052056</v>
      </c>
      <c r="BI10" s="52">
        <v>1308.280037</v>
      </c>
      <c r="BJ10" s="57">
        <v>1047.398704</v>
      </c>
      <c r="BK10" s="49">
        <v>970.662013</v>
      </c>
      <c r="BL10" s="49">
        <v>908.48117300000001</v>
      </c>
      <c r="BM10" s="49">
        <f>624580559/1000000</f>
        <v>624.58055899999999</v>
      </c>
      <c r="BN10" s="49">
        <f>613160672/1000000</f>
        <v>613.16067199999998</v>
      </c>
      <c r="BO10" s="49">
        <f>417632609/1000000</f>
        <v>417.632609</v>
      </c>
      <c r="BP10" s="49">
        <f>414594494/1000000</f>
        <v>414.594494</v>
      </c>
      <c r="BQ10" s="49">
        <f>504970651/1000000</f>
        <v>504.97065099999998</v>
      </c>
      <c r="BR10" s="49">
        <f>438672343/1000000</f>
        <v>438.67234300000001</v>
      </c>
      <c r="BS10" s="49">
        <v>442.3</v>
      </c>
      <c r="BT10" s="49">
        <f>405769523/1000000</f>
        <v>405.76952299999999</v>
      </c>
      <c r="BU10" s="52">
        <f>647312504/1000000</f>
        <v>647.31250399999999</v>
      </c>
      <c r="BV10" s="57">
        <v>646.54335600000002</v>
      </c>
      <c r="BW10" s="49">
        <v>758.98512300000004</v>
      </c>
      <c r="BX10" s="49">
        <v>804.74374699999998</v>
      </c>
      <c r="BY10" s="49">
        <v>769.46587699999998</v>
      </c>
      <c r="BZ10" s="49">
        <v>840.78614500000003</v>
      </c>
      <c r="CA10" s="49">
        <v>865.69529899999998</v>
      </c>
      <c r="CB10" s="49">
        <v>1017.669355</v>
      </c>
      <c r="CC10" s="49">
        <v>1013.4419349999999</v>
      </c>
      <c r="CD10" s="49">
        <v>955.34461299999998</v>
      </c>
      <c r="CE10" s="49">
        <v>1097.2149240000001</v>
      </c>
      <c r="CF10" s="49">
        <v>1041.1773909999999</v>
      </c>
      <c r="CG10" s="52">
        <v>1226.1298280000001</v>
      </c>
      <c r="CH10" s="57">
        <v>1039.9841859999999</v>
      </c>
      <c r="CI10" s="49">
        <v>1121.956187</v>
      </c>
      <c r="CJ10" s="49">
        <v>1336.7638440000001</v>
      </c>
      <c r="CK10" s="49">
        <v>1348.864497</v>
      </c>
      <c r="CL10" s="49">
        <v>1482.725516</v>
      </c>
      <c r="CM10" s="49">
        <v>1375.5477410000001</v>
      </c>
      <c r="CN10" s="49">
        <v>1617.5475899999999</v>
      </c>
      <c r="CO10" s="49">
        <v>1431.6951200000001</v>
      </c>
      <c r="CP10" s="49">
        <v>1371.241728</v>
      </c>
      <c r="CQ10" s="49">
        <v>989.10111400000005</v>
      </c>
      <c r="CR10" s="49">
        <v>1329.0255333</v>
      </c>
      <c r="CS10" s="52">
        <v>1308</v>
      </c>
      <c r="CT10" s="57">
        <v>1145.8589691503678</v>
      </c>
      <c r="CU10" s="49">
        <v>985.30632254403326</v>
      </c>
      <c r="CV10" s="49">
        <v>819.70530014629139</v>
      </c>
      <c r="CW10" s="49">
        <v>586.31157343642894</v>
      </c>
      <c r="CX10" s="49">
        <v>800.84803983140057</v>
      </c>
      <c r="CY10" s="49">
        <v>617.64809245267384</v>
      </c>
      <c r="CZ10" s="49">
        <v>956.92973093749447</v>
      </c>
      <c r="DA10" s="49">
        <v>1065.6968745483412</v>
      </c>
      <c r="DB10" s="49">
        <v>1119.3621658569748</v>
      </c>
      <c r="DC10" s="49">
        <v>1054.0257353922298</v>
      </c>
      <c r="DD10" s="49">
        <v>1030.7900380827116</v>
      </c>
      <c r="DE10" s="52">
        <v>1176.0993677998695</v>
      </c>
      <c r="DF10" s="57">
        <v>985.076122774944</v>
      </c>
      <c r="DG10" s="49">
        <v>1201.7634693998343</v>
      </c>
      <c r="DH10" s="49">
        <v>1086.6063316958478</v>
      </c>
      <c r="DI10" s="49">
        <v>1013.6600278619021</v>
      </c>
      <c r="DJ10" s="49">
        <v>1100.7291892603996</v>
      </c>
      <c r="DK10" s="49">
        <v>717.4417780718602</v>
      </c>
      <c r="DL10" s="49">
        <v>927.18791162644368</v>
      </c>
      <c r="DM10" s="49">
        <v>950.56982664614088</v>
      </c>
      <c r="DN10" s="49">
        <v>878.54162193767206</v>
      </c>
      <c r="DO10" s="49">
        <v>735.03371601836989</v>
      </c>
      <c r="DP10" s="49">
        <v>912.98164486129735</v>
      </c>
      <c r="DQ10" s="52">
        <v>839.73129982077796</v>
      </c>
      <c r="DR10" s="57">
        <v>938.74916299999995</v>
      </c>
      <c r="DS10" s="49">
        <v>775.376846</v>
      </c>
      <c r="DT10" s="49">
        <v>972.61137599999995</v>
      </c>
      <c r="DU10" s="49">
        <v>870.87537185681549</v>
      </c>
      <c r="DV10" s="49">
        <v>728.79694500000005</v>
      </c>
      <c r="DW10" s="76" t="s">
        <v>55</v>
      </c>
      <c r="DX10" s="76" t="s">
        <v>55</v>
      </c>
      <c r="DY10" s="76">
        <v>862.60296563970235</v>
      </c>
      <c r="DZ10" s="76">
        <v>785.92761199999995</v>
      </c>
      <c r="EA10" s="52">
        <v>882.56612600000005</v>
      </c>
      <c r="EB10" s="49"/>
      <c r="EC10" s="69"/>
    </row>
    <row r="11" spans="1:133" s="5" customFormat="1" ht="17.100000000000001" customHeight="1" x14ac:dyDescent="0.2">
      <c r="A11" s="12" t="s">
        <v>4</v>
      </c>
      <c r="B11" s="57">
        <v>3.3449999999999999E-3</v>
      </c>
      <c r="C11" s="49">
        <v>1E-3</v>
      </c>
      <c r="D11" s="49">
        <v>2.8960000000000001E-3</v>
      </c>
      <c r="E11" s="49">
        <v>5.5999999999999999E-5</v>
      </c>
      <c r="F11" s="49">
        <v>2.6979999999999999E-3</v>
      </c>
      <c r="G11" s="49">
        <v>2.6649999999999998E-3</v>
      </c>
      <c r="H11" s="49">
        <v>2.4000000000000001E-4</v>
      </c>
      <c r="I11" s="49">
        <v>2.8700000000000002E-3</v>
      </c>
      <c r="J11" s="49">
        <v>1.7708999999999999E-2</v>
      </c>
      <c r="K11" s="49">
        <v>3.075E-3</v>
      </c>
      <c r="L11" s="49">
        <v>3.9050000000000001E-3</v>
      </c>
      <c r="M11" s="52">
        <v>1.3786E-2</v>
      </c>
      <c r="N11" s="57">
        <v>1.4238000000000001E-2</v>
      </c>
      <c r="O11" s="49">
        <v>1.3298000000000001E-2</v>
      </c>
      <c r="P11" s="49">
        <v>2.3999999999999998E-3</v>
      </c>
      <c r="Q11" s="49">
        <v>5.8999999999999999E-3</v>
      </c>
      <c r="R11" s="49">
        <v>2.8473999999999999E-2</v>
      </c>
      <c r="S11" s="49">
        <v>5.0000000000000001E-4</v>
      </c>
      <c r="T11" s="49">
        <v>1.4787E-2</v>
      </c>
      <c r="U11" s="49">
        <v>2.6669999999999999E-2</v>
      </c>
      <c r="V11" s="49">
        <v>2.4858999999999999E-2</v>
      </c>
      <c r="W11" s="49">
        <v>5.22E-4</v>
      </c>
      <c r="X11" s="49">
        <v>1.5E-3</v>
      </c>
      <c r="Y11" s="52">
        <v>0</v>
      </c>
      <c r="Z11" s="57">
        <v>2.5479999999999999E-3</v>
      </c>
      <c r="AA11" s="49">
        <v>1.658E-3</v>
      </c>
      <c r="AB11" s="49">
        <v>1.658E-3</v>
      </c>
      <c r="AC11" s="49">
        <v>9.8510000000000004E-3</v>
      </c>
      <c r="AD11" s="49">
        <v>2.1090000000000002E-3</v>
      </c>
      <c r="AE11" s="49">
        <v>0</v>
      </c>
      <c r="AF11" s="49">
        <v>0</v>
      </c>
      <c r="AG11" s="49">
        <v>1.9710000000000001E-3</v>
      </c>
      <c r="AH11" s="49">
        <v>0</v>
      </c>
      <c r="AI11" s="49">
        <v>0</v>
      </c>
      <c r="AJ11" s="49">
        <v>1.201E-3</v>
      </c>
      <c r="AK11" s="52">
        <v>5.9999999999999995E-4</v>
      </c>
      <c r="AL11" s="57">
        <v>6.0300000000000002E-4</v>
      </c>
      <c r="AM11" s="49">
        <v>1.6949999999999999E-3</v>
      </c>
      <c r="AN11" s="49">
        <v>1.351E-3</v>
      </c>
      <c r="AO11" s="49">
        <v>2.3700000000000001E-3</v>
      </c>
      <c r="AP11" s="49">
        <v>1.2570000000000001E-3</v>
      </c>
      <c r="AQ11" s="49">
        <v>8.43E-4</v>
      </c>
      <c r="AR11" s="49">
        <v>1.008E-3</v>
      </c>
      <c r="AS11" s="49">
        <v>1.7030000000000001E-3</v>
      </c>
      <c r="AT11" s="49">
        <v>2.7203999999999999E-2</v>
      </c>
      <c r="AU11" s="49">
        <v>0</v>
      </c>
      <c r="AV11" s="49">
        <v>2.8953E-2</v>
      </c>
      <c r="AW11" s="52">
        <v>1.0000000000000001E-5</v>
      </c>
      <c r="AX11" s="57">
        <v>6.0099999999999997E-4</v>
      </c>
      <c r="AY11" s="49">
        <v>5.9663000000000001E-2</v>
      </c>
      <c r="AZ11" s="49">
        <v>0.101412</v>
      </c>
      <c r="BA11" s="49">
        <v>5.0735000000000002E-2</v>
      </c>
      <c r="BB11" s="49">
        <v>1.0645999999999999E-2</v>
      </c>
      <c r="BC11" s="49">
        <v>2.5579999999999999E-2</v>
      </c>
      <c r="BD11" s="49">
        <v>5.5513E-2</v>
      </c>
      <c r="BE11" s="49">
        <v>1.0552000000000001E-2</v>
      </c>
      <c r="BF11" s="49">
        <v>5.6337999999999999E-2</v>
      </c>
      <c r="BG11" s="49">
        <v>2.2284000000000002E-2</v>
      </c>
      <c r="BH11" s="49">
        <v>1.3344999999999999E-2</v>
      </c>
      <c r="BI11" s="52">
        <v>1.7774999999999999E-2</v>
      </c>
      <c r="BJ11" s="57">
        <v>0</v>
      </c>
      <c r="BK11" s="49">
        <v>6.0000000000000002E-5</v>
      </c>
      <c r="BL11" s="49">
        <v>2.3E-3</v>
      </c>
      <c r="BM11" s="49" t="s">
        <v>29</v>
      </c>
      <c r="BN11" s="49" t="s">
        <v>29</v>
      </c>
      <c r="BO11" s="49">
        <f>33117/1000000</f>
        <v>3.3117000000000001E-2</v>
      </c>
      <c r="BP11" s="49">
        <f>1/1000000</f>
        <v>9.9999999999999995E-7</v>
      </c>
      <c r="BQ11" s="49" t="s">
        <v>29</v>
      </c>
      <c r="BR11" s="49">
        <f>268/1000000</f>
        <v>2.6800000000000001E-4</v>
      </c>
      <c r="BS11" s="49" t="s">
        <v>29</v>
      </c>
      <c r="BT11" s="49">
        <f>15108/1000000</f>
        <v>1.5108E-2</v>
      </c>
      <c r="BU11" s="52">
        <f>3/1000000</f>
        <v>3.0000000000000001E-6</v>
      </c>
      <c r="BV11" s="57">
        <v>3.0000000000000001E-6</v>
      </c>
      <c r="BW11" s="49">
        <f>34735/1000000</f>
        <v>3.4735000000000002E-2</v>
      </c>
      <c r="BX11" s="49">
        <f>233097/1000000</f>
        <v>0.233097</v>
      </c>
      <c r="BY11" s="49">
        <f>42406/1000000</f>
        <v>4.2405999999999999E-2</v>
      </c>
      <c r="BZ11" s="49">
        <f>40468/1000000</f>
        <v>4.0467999999999997E-2</v>
      </c>
      <c r="CA11" s="49">
        <f>16036/1000000</f>
        <v>1.6036000000000002E-2</v>
      </c>
      <c r="CB11" s="49">
        <f>59085/1000000</f>
        <v>5.9084999999999999E-2</v>
      </c>
      <c r="CC11" s="49">
        <f>44185/1000000</f>
        <v>4.4185000000000002E-2</v>
      </c>
      <c r="CD11" s="49">
        <f>22299/1000000</f>
        <v>2.2298999999999999E-2</v>
      </c>
      <c r="CE11" s="49">
        <f>25354/1000000</f>
        <v>2.5354000000000002E-2</v>
      </c>
      <c r="CF11" s="49">
        <f>346591/1000000</f>
        <v>0.34659099999999998</v>
      </c>
      <c r="CG11" s="52">
        <f>49019/1000000</f>
        <v>4.9019E-2</v>
      </c>
      <c r="CH11" s="57">
        <v>5.0903999999999998E-2</v>
      </c>
      <c r="CI11" s="49">
        <f>27379/1000000</f>
        <v>2.7379000000000001E-2</v>
      </c>
      <c r="CJ11" s="49">
        <f>57612/1000000</f>
        <v>5.7611999999999997E-2</v>
      </c>
      <c r="CK11" s="49">
        <v>6.0380000000000003E-2</v>
      </c>
      <c r="CL11" s="49">
        <v>8.8255E-2</v>
      </c>
      <c r="CM11" s="49">
        <v>5.6445000000000002E-2</v>
      </c>
      <c r="CN11" s="49">
        <v>2.8403999999999999E-2</v>
      </c>
      <c r="CO11" s="49">
        <v>4.7781999999999998E-2</v>
      </c>
      <c r="CP11" s="49">
        <v>4.5173999999999999E-2</v>
      </c>
      <c r="CQ11" s="49">
        <v>2.1425E-2</v>
      </c>
      <c r="CR11" s="49">
        <v>4.4443000000000003E-2</v>
      </c>
      <c r="CS11" s="52">
        <v>4.2709999999999998E-2</v>
      </c>
      <c r="CT11" s="57">
        <v>2.0481900000000001E-2</v>
      </c>
      <c r="CU11" s="49">
        <v>4.1147219999999998E-2</v>
      </c>
      <c r="CV11" s="49">
        <v>6.4367919999999995E-2</v>
      </c>
      <c r="CW11" s="49">
        <v>2.1474240000000002E-2</v>
      </c>
      <c r="CX11" s="49">
        <v>4.2313219999999999E-2</v>
      </c>
      <c r="CY11" s="49">
        <v>8.4289009999999998E-2</v>
      </c>
      <c r="CZ11" s="49">
        <v>3.8985900000000004E-2</v>
      </c>
      <c r="DA11" s="49">
        <v>3.7648879999999989E-2</v>
      </c>
      <c r="DB11" s="49">
        <v>4.5202660000000006E-2</v>
      </c>
      <c r="DC11" s="49">
        <v>4.8927999999999999E-2</v>
      </c>
      <c r="DD11" s="49">
        <v>4.1407859999999998E-2</v>
      </c>
      <c r="DE11" s="52">
        <v>3.8877899999999993E-2</v>
      </c>
      <c r="DF11" s="57">
        <v>4.0770899999999999E-2</v>
      </c>
      <c r="DG11" s="49">
        <v>5.8848220000000007E-2</v>
      </c>
      <c r="DH11" s="49">
        <v>5.714636E-2</v>
      </c>
      <c r="DI11" s="49">
        <v>4.3522999999999999E-2</v>
      </c>
      <c r="DJ11" s="49">
        <v>4.419E-2</v>
      </c>
      <c r="DK11" s="49">
        <v>4.2010640000000009E-2</v>
      </c>
      <c r="DL11" s="49">
        <v>6.0680299999999993E-2</v>
      </c>
      <c r="DM11" s="49">
        <v>2.1705599999999999E-2</v>
      </c>
      <c r="DN11" s="49">
        <v>7.2983199999999998E-2</v>
      </c>
      <c r="DO11" s="49">
        <v>5.4152229999999996E-2</v>
      </c>
      <c r="DP11" s="49">
        <v>8.3796850000000006E-2</v>
      </c>
      <c r="DQ11" s="52">
        <v>5.3969499999999997E-2</v>
      </c>
      <c r="DR11" s="57">
        <v>2.4034E-2</v>
      </c>
      <c r="DS11" s="49">
        <v>8.5775000000000004E-2</v>
      </c>
      <c r="DT11" s="49">
        <v>5.5296999999999999E-2</v>
      </c>
      <c r="DU11" s="49">
        <v>2.6671819999999999E-2</v>
      </c>
      <c r="DV11" s="49">
        <v>5.4038999999999997E-2</v>
      </c>
      <c r="DW11" s="76" t="s">
        <v>55</v>
      </c>
      <c r="DX11" s="76" t="s">
        <v>55</v>
      </c>
      <c r="DY11" s="76">
        <v>6.6460000000000005E-2</v>
      </c>
      <c r="DZ11" s="76">
        <v>8.2516000000000006E-2</v>
      </c>
      <c r="EA11" s="52">
        <v>3.2124E-2</v>
      </c>
      <c r="EB11" s="49"/>
      <c r="EC11" s="69"/>
    </row>
    <row r="12" spans="1:133" s="5" customFormat="1" ht="17.100000000000001" customHeight="1" x14ac:dyDescent="0.2">
      <c r="A12" s="12" t="s">
        <v>5</v>
      </c>
      <c r="B12" s="57">
        <v>38.471241999999997</v>
      </c>
      <c r="C12" s="49">
        <v>14.493494</v>
      </c>
      <c r="D12" s="49">
        <v>15.809139</v>
      </c>
      <c r="E12" s="49">
        <v>0.30992900000000001</v>
      </c>
      <c r="F12" s="49">
        <v>1.1121460000000001</v>
      </c>
      <c r="G12" s="49">
        <v>13.095981</v>
      </c>
      <c r="H12" s="49">
        <v>25.971119000000002</v>
      </c>
      <c r="I12" s="49">
        <v>12.739568</v>
      </c>
      <c r="J12" s="49">
        <v>21.784663999999999</v>
      </c>
      <c r="K12" s="49">
        <v>14.873042999999999</v>
      </c>
      <c r="L12" s="49">
        <v>10.359546</v>
      </c>
      <c r="M12" s="52">
        <v>20.327584999999999</v>
      </c>
      <c r="N12" s="57">
        <v>19.514296000000002</v>
      </c>
      <c r="O12" s="49">
        <v>14.94289</v>
      </c>
      <c r="P12" s="49">
        <v>19.992307</v>
      </c>
      <c r="Q12" s="49">
        <v>17.308655000000002</v>
      </c>
      <c r="R12" s="49">
        <v>17.457647999999999</v>
      </c>
      <c r="S12" s="49">
        <v>14.172669000000001</v>
      </c>
      <c r="T12" s="49">
        <v>168.74849900000001</v>
      </c>
      <c r="U12" s="49">
        <v>21.730881</v>
      </c>
      <c r="V12" s="49">
        <v>8.61205</v>
      </c>
      <c r="W12" s="49">
        <v>1.3325880000000001</v>
      </c>
      <c r="X12" s="49">
        <v>0.52676999999999996</v>
      </c>
      <c r="Y12" s="52">
        <v>20.381285999999999</v>
      </c>
      <c r="Z12" s="57">
        <v>30.276278999999999</v>
      </c>
      <c r="AA12" s="49">
        <v>15.777193</v>
      </c>
      <c r="AB12" s="49">
        <v>30.105642</v>
      </c>
      <c r="AC12" s="49">
        <v>30.990687999999999</v>
      </c>
      <c r="AD12" s="49">
        <v>61.398971000000003</v>
      </c>
      <c r="AE12" s="49">
        <v>13.609230999999999</v>
      </c>
      <c r="AF12" s="49">
        <v>19.620494000000001</v>
      </c>
      <c r="AG12" s="49">
        <v>22.509201999999998</v>
      </c>
      <c r="AH12" s="49">
        <v>7.4724459999999997</v>
      </c>
      <c r="AI12" s="49">
        <v>13.934317</v>
      </c>
      <c r="AJ12" s="49">
        <v>13.979424</v>
      </c>
      <c r="AK12" s="52">
        <v>20.642544000000001</v>
      </c>
      <c r="AL12" s="57">
        <v>36.210408999999999</v>
      </c>
      <c r="AM12" s="49">
        <v>26.658200000000001</v>
      </c>
      <c r="AN12" s="49">
        <v>28.364471000000002</v>
      </c>
      <c r="AO12" s="49">
        <v>17.612133</v>
      </c>
      <c r="AP12" s="49">
        <v>27.662112</v>
      </c>
      <c r="AQ12" s="49">
        <v>21.946864000000001</v>
      </c>
      <c r="AR12" s="49">
        <v>26.769120000000001</v>
      </c>
      <c r="AS12" s="49">
        <v>32.210470000000001</v>
      </c>
      <c r="AT12" s="49">
        <v>24.132621</v>
      </c>
      <c r="AU12" s="49">
        <v>36.529411000000003</v>
      </c>
      <c r="AV12" s="49">
        <v>28.483841999999999</v>
      </c>
      <c r="AW12" s="52">
        <v>26.162870999999999</v>
      </c>
      <c r="AX12" s="57">
        <v>55.911517000000003</v>
      </c>
      <c r="AY12" s="49">
        <v>22.477173000000001</v>
      </c>
      <c r="AZ12" s="49">
        <v>3.9212560000000001</v>
      </c>
      <c r="BA12" s="49">
        <v>9.4690189999999994</v>
      </c>
      <c r="BB12" s="49">
        <v>20.745522000000001</v>
      </c>
      <c r="BC12" s="49">
        <v>28.205356999999999</v>
      </c>
      <c r="BD12" s="49">
        <v>13.771202000000001</v>
      </c>
      <c r="BE12" s="49">
        <v>17.355606000000002</v>
      </c>
      <c r="BF12" s="49">
        <v>19.258275999999999</v>
      </c>
      <c r="BG12" s="49">
        <v>23.702960000000001</v>
      </c>
      <c r="BH12" s="49">
        <v>59.354233000000001</v>
      </c>
      <c r="BI12" s="52">
        <v>62.839426000000003</v>
      </c>
      <c r="BJ12" s="57">
        <v>138.27657500000001</v>
      </c>
      <c r="BK12" s="49">
        <v>138.61390800000001</v>
      </c>
      <c r="BL12" s="49">
        <v>137.65414999999999</v>
      </c>
      <c r="BM12" s="49">
        <f>90588644/1000000</f>
        <v>90.588644000000002</v>
      </c>
      <c r="BN12" s="49">
        <f>235169083/1000000</f>
        <v>235.169083</v>
      </c>
      <c r="BO12" s="49">
        <f>109124667/1000000</f>
        <v>109.124667</v>
      </c>
      <c r="BP12" s="49">
        <f>88643258/1000000</f>
        <v>88.643258000000003</v>
      </c>
      <c r="BQ12" s="49">
        <f>102126849/1000000</f>
        <v>102.12684900000001</v>
      </c>
      <c r="BR12" s="49">
        <f>142596169/1000000</f>
        <v>142.596169</v>
      </c>
      <c r="BS12" s="49">
        <v>88.3</v>
      </c>
      <c r="BT12" s="49">
        <f>118622065/1000000</f>
        <v>118.62206500000001</v>
      </c>
      <c r="BU12" s="52">
        <f>134927702/1000000</f>
        <v>134.92770200000001</v>
      </c>
      <c r="BV12" s="57">
        <v>158.71104299999999</v>
      </c>
      <c r="BW12" s="49">
        <v>150.61647199999999</v>
      </c>
      <c r="BX12" s="49">
        <v>228.13090399999999</v>
      </c>
      <c r="BY12" s="49">
        <v>201.17102700000001</v>
      </c>
      <c r="BZ12" s="49">
        <v>227.18282199999999</v>
      </c>
      <c r="CA12" s="49">
        <v>209.37593000000001</v>
      </c>
      <c r="CB12" s="49">
        <v>252.133815</v>
      </c>
      <c r="CC12" s="49">
        <v>213.080139</v>
      </c>
      <c r="CD12" s="49">
        <v>322.05618700000002</v>
      </c>
      <c r="CE12" s="49">
        <v>211.926153</v>
      </c>
      <c r="CF12" s="49">
        <v>215.61424199999999</v>
      </c>
      <c r="CG12" s="52">
        <v>218.73156499999999</v>
      </c>
      <c r="CH12" s="57">
        <v>236.92509999999999</v>
      </c>
      <c r="CI12" s="49">
        <v>294.65491700000001</v>
      </c>
      <c r="CJ12" s="49">
        <v>290.67844300000002</v>
      </c>
      <c r="CK12" s="49">
        <v>319.49227400000001</v>
      </c>
      <c r="CL12" s="49">
        <v>359.74935900000003</v>
      </c>
      <c r="CM12" s="49">
        <v>373.21615500000001</v>
      </c>
      <c r="CN12" s="49">
        <v>287.85058600000002</v>
      </c>
      <c r="CO12" s="49">
        <v>249.87924799999999</v>
      </c>
      <c r="CP12" s="49">
        <v>209.08020300000001</v>
      </c>
      <c r="CQ12" s="49">
        <v>263.70874800000001</v>
      </c>
      <c r="CR12" s="49">
        <v>319.71974599999999</v>
      </c>
      <c r="CS12" s="52">
        <v>225.364102</v>
      </c>
      <c r="CT12" s="57">
        <v>344.42737501108621</v>
      </c>
      <c r="CU12" s="49">
        <v>244.08760702912869</v>
      </c>
      <c r="CV12" s="49">
        <v>125.0317876501929</v>
      </c>
      <c r="CW12" s="49">
        <v>147.5973004746003</v>
      </c>
      <c r="CX12" s="49">
        <v>236.42453374588197</v>
      </c>
      <c r="CY12" s="49">
        <v>224.7671282685358</v>
      </c>
      <c r="CZ12" s="49">
        <v>192.956747200531</v>
      </c>
      <c r="DA12" s="49">
        <v>355.95002710528394</v>
      </c>
      <c r="DB12" s="49">
        <v>315.47722940604109</v>
      </c>
      <c r="DC12" s="49">
        <v>286.55185161800313</v>
      </c>
      <c r="DD12" s="49">
        <v>289.574560046263</v>
      </c>
      <c r="DE12" s="52">
        <v>267.33679977313324</v>
      </c>
      <c r="DF12" s="57">
        <v>277.88650693483686</v>
      </c>
      <c r="DG12" s="49">
        <v>322.37439375582369</v>
      </c>
      <c r="DH12" s="49">
        <v>283.85408223962054</v>
      </c>
      <c r="DI12" s="49">
        <v>332.4094551121018</v>
      </c>
      <c r="DJ12" s="49">
        <v>297.13387675695293</v>
      </c>
      <c r="DK12" s="49">
        <v>207.85508064472475</v>
      </c>
      <c r="DL12" s="49">
        <v>224.39135564605473</v>
      </c>
      <c r="DM12" s="49">
        <v>236.91827200549113</v>
      </c>
      <c r="DN12" s="49">
        <v>263.22786015836192</v>
      </c>
      <c r="DO12" s="49">
        <v>292.17713144259619</v>
      </c>
      <c r="DP12" s="49">
        <v>193.6250724464478</v>
      </c>
      <c r="DQ12" s="52">
        <v>290.8979601150595</v>
      </c>
      <c r="DR12" s="57">
        <v>266.292529</v>
      </c>
      <c r="DS12" s="49">
        <v>294.19368900000001</v>
      </c>
      <c r="DT12" s="49">
        <v>255.34778299999999</v>
      </c>
      <c r="DU12" s="49">
        <v>270.86652683572379</v>
      </c>
      <c r="DV12" s="49">
        <v>267.80578700000001</v>
      </c>
      <c r="DW12" s="76" t="s">
        <v>55</v>
      </c>
      <c r="DX12" s="76" t="s">
        <v>55</v>
      </c>
      <c r="DY12" s="76">
        <v>200.17264162702827</v>
      </c>
      <c r="DZ12" s="76">
        <v>215.07420300000001</v>
      </c>
      <c r="EA12" s="52">
        <v>230.47467700000001</v>
      </c>
      <c r="EB12" s="49"/>
      <c r="EC12" s="69"/>
    </row>
    <row r="13" spans="1:133" s="5" customFormat="1" ht="17.100000000000001" customHeight="1" x14ac:dyDescent="0.2">
      <c r="A13" s="12" t="s">
        <v>10</v>
      </c>
      <c r="B13" s="57">
        <v>8.3244129999999998</v>
      </c>
      <c r="C13" s="49">
        <v>4.7414069999999997</v>
      </c>
      <c r="D13" s="49">
        <v>8.9967249999999996</v>
      </c>
      <c r="E13" s="49">
        <v>8.3460210000000004</v>
      </c>
      <c r="F13" s="49">
        <v>5.2238030000000002</v>
      </c>
      <c r="G13" s="49">
        <v>4.192736</v>
      </c>
      <c r="H13" s="49">
        <v>7.940741</v>
      </c>
      <c r="I13" s="49">
        <v>7.27475</v>
      </c>
      <c r="J13" s="49">
        <v>6.0159050000000001</v>
      </c>
      <c r="K13" s="49">
        <v>4.37357</v>
      </c>
      <c r="L13" s="49">
        <v>4.3743359999999996</v>
      </c>
      <c r="M13" s="52">
        <v>3.703176</v>
      </c>
      <c r="N13" s="57">
        <v>3.3417620000000001</v>
      </c>
      <c r="O13" s="49">
        <v>4.0850549999999997</v>
      </c>
      <c r="P13" s="49">
        <v>5.9243240000000004</v>
      </c>
      <c r="Q13" s="49">
        <v>7.6301119999999996</v>
      </c>
      <c r="R13" s="49">
        <v>4.8141540000000003</v>
      </c>
      <c r="S13" s="49">
        <v>2.9971999999999999</v>
      </c>
      <c r="T13" s="49">
        <v>3.0489139999999999</v>
      </c>
      <c r="U13" s="49">
        <v>2.9179369999999998</v>
      </c>
      <c r="V13" s="49">
        <v>3.7178580000000001</v>
      </c>
      <c r="W13" s="49">
        <v>7.4296389999999999</v>
      </c>
      <c r="X13" s="49">
        <v>2.948782</v>
      </c>
      <c r="Y13" s="52">
        <v>2.9162889999999999</v>
      </c>
      <c r="Z13" s="57">
        <v>1.987077</v>
      </c>
      <c r="AA13" s="49">
        <v>1.8060909999999999</v>
      </c>
      <c r="AB13" s="49">
        <v>2.5592959999999998</v>
      </c>
      <c r="AC13" s="49">
        <v>1.654379</v>
      </c>
      <c r="AD13" s="49">
        <v>3.5813799999999998</v>
      </c>
      <c r="AE13" s="49">
        <v>2.6344289999999999</v>
      </c>
      <c r="AF13" s="49">
        <v>2.18852</v>
      </c>
      <c r="AG13" s="49">
        <v>3.9717009999999999</v>
      </c>
      <c r="AH13" s="49">
        <v>1.433179</v>
      </c>
      <c r="AI13" s="49">
        <v>4.2153219999999996</v>
      </c>
      <c r="AJ13" s="49">
        <v>2.6231520000000002</v>
      </c>
      <c r="AK13" s="52">
        <v>5.1418520000000001</v>
      </c>
      <c r="AL13" s="57">
        <v>4.4045379999999996</v>
      </c>
      <c r="AM13" s="49">
        <v>6.239795</v>
      </c>
      <c r="AN13" s="49">
        <v>4.6903550000000003</v>
      </c>
      <c r="AO13" s="49">
        <v>10.155924000000001</v>
      </c>
      <c r="AP13" s="49">
        <v>3.7037749999999998</v>
      </c>
      <c r="AQ13" s="49">
        <v>2.1918359999999999</v>
      </c>
      <c r="AR13" s="49">
        <v>9.3927219999999991</v>
      </c>
      <c r="AS13" s="49">
        <v>3.7813270000000001</v>
      </c>
      <c r="AT13" s="49">
        <v>4.9470179999999999</v>
      </c>
      <c r="AU13" s="49">
        <v>17.271896999999999</v>
      </c>
      <c r="AV13" s="49">
        <v>8.0710940000000004</v>
      </c>
      <c r="AW13" s="52">
        <v>13.465567999999999</v>
      </c>
      <c r="AX13" s="57">
        <v>11.572698000000001</v>
      </c>
      <c r="AY13" s="49">
        <v>1.901413</v>
      </c>
      <c r="AZ13" s="49">
        <v>5.6650390000000002</v>
      </c>
      <c r="BA13" s="49">
        <v>12.379678</v>
      </c>
      <c r="BB13" s="49">
        <v>4.4512239999999998</v>
      </c>
      <c r="BC13" s="49">
        <v>15.535326</v>
      </c>
      <c r="BD13" s="49">
        <v>5.5462879999999997</v>
      </c>
      <c r="BE13" s="49">
        <v>4.1433109999999997</v>
      </c>
      <c r="BF13" s="49">
        <v>3.082913</v>
      </c>
      <c r="BG13" s="49">
        <v>5.7929389999999996</v>
      </c>
      <c r="BH13" s="49">
        <v>10.407916999999999</v>
      </c>
      <c r="BI13" s="52">
        <v>1.5135780000000001</v>
      </c>
      <c r="BJ13" s="57">
        <v>5.4065560000000001</v>
      </c>
      <c r="BK13" s="49">
        <v>1.793671</v>
      </c>
      <c r="BL13" s="49">
        <v>1.383588</v>
      </c>
      <c r="BM13" s="49">
        <f>3093305/1000000</f>
        <v>3.093305</v>
      </c>
      <c r="BN13" s="49">
        <f>147442/1000000</f>
        <v>0.14744199999999999</v>
      </c>
      <c r="BO13" s="49">
        <f>836977/1000000</f>
        <v>0.83697699999999997</v>
      </c>
      <c r="BP13" s="49">
        <f>215635/1000000</f>
        <v>0.21563499999999999</v>
      </c>
      <c r="BQ13" s="49">
        <f>589884/1000000</f>
        <v>0.58988399999999996</v>
      </c>
      <c r="BR13" s="49">
        <f>2500585/1000000</f>
        <v>2.5005850000000001</v>
      </c>
      <c r="BS13" s="49">
        <v>1.2</v>
      </c>
      <c r="BT13" s="49">
        <f>1945707/1000000</f>
        <v>1.9457070000000001</v>
      </c>
      <c r="BU13" s="52">
        <f>3363114/1000000</f>
        <v>3.3631139999999999</v>
      </c>
      <c r="BV13" s="57">
        <f>4741091/1000000</f>
        <v>4.7410909999999999</v>
      </c>
      <c r="BW13" s="49">
        <f>2168320/1000000</f>
        <v>2.16832</v>
      </c>
      <c r="BX13" s="49">
        <f>3420594/1000000</f>
        <v>3.4205939999999999</v>
      </c>
      <c r="BY13" s="49">
        <f>2394239/1000000</f>
        <v>2.3942389999999998</v>
      </c>
      <c r="BZ13" s="49">
        <v>2.1290779999999998</v>
      </c>
      <c r="CA13" s="49">
        <f>5595365/1000000</f>
        <v>5.5953650000000001</v>
      </c>
      <c r="CB13" s="49">
        <f>4615061/1000000</f>
        <v>4.6150609999999999</v>
      </c>
      <c r="CC13" s="49">
        <f>1914811/1000000</f>
        <v>1.914811</v>
      </c>
      <c r="CD13" s="49">
        <f>3955407/1000000</f>
        <v>3.9554070000000001</v>
      </c>
      <c r="CE13" s="49">
        <f>4542179/1000000</f>
        <v>4.542179</v>
      </c>
      <c r="CF13" s="49">
        <f>3140269/1000000</f>
        <v>3.140269</v>
      </c>
      <c r="CG13" s="52">
        <f>4412204/1000000</f>
        <v>4.412204</v>
      </c>
      <c r="CH13" s="57">
        <v>7.0450410000000003</v>
      </c>
      <c r="CI13" s="49">
        <v>1.721786</v>
      </c>
      <c r="CJ13" s="49">
        <v>10.477613</v>
      </c>
      <c r="CK13" s="49">
        <v>15.746807</v>
      </c>
      <c r="CL13" s="49">
        <v>6.603129</v>
      </c>
      <c r="CM13" s="49">
        <v>11.219663000000001</v>
      </c>
      <c r="CN13" s="49">
        <v>10.996871000000001</v>
      </c>
      <c r="CO13" s="49">
        <v>8.1096310000000003</v>
      </c>
      <c r="CP13" s="49">
        <v>6.2371569999999998</v>
      </c>
      <c r="CQ13" s="49">
        <v>7.9191450000000003</v>
      </c>
      <c r="CR13" s="49">
        <v>4.6170090000000004</v>
      </c>
      <c r="CS13" s="52">
        <v>10</v>
      </c>
      <c r="CT13" s="57">
        <v>21.872630689999987</v>
      </c>
      <c r="CU13" s="49">
        <v>11.059231550000009</v>
      </c>
      <c r="CV13" s="49">
        <v>8.9995648100000185</v>
      </c>
      <c r="CW13" s="49">
        <v>9.2982037099999957</v>
      </c>
      <c r="CX13" s="49">
        <v>11.702968039999975</v>
      </c>
      <c r="CY13" s="49">
        <v>8.2192656700000182</v>
      </c>
      <c r="CZ13" s="49">
        <v>8.0672607700000007</v>
      </c>
      <c r="DA13" s="49">
        <v>5.1583212400000056</v>
      </c>
      <c r="DB13" s="49">
        <v>10.822545110000009</v>
      </c>
      <c r="DC13" s="49">
        <v>6.201357670000009</v>
      </c>
      <c r="DD13" s="49">
        <v>5.7077508399999921</v>
      </c>
      <c r="DE13" s="52">
        <v>2.4051980199999998</v>
      </c>
      <c r="DF13" s="57">
        <v>5.5657277100000018</v>
      </c>
      <c r="DG13" s="49">
        <v>4.618486220000011</v>
      </c>
      <c r="DH13" s="49">
        <v>8.4544244999999982</v>
      </c>
      <c r="DI13" s="49">
        <v>8.3841018399999978</v>
      </c>
      <c r="DJ13" s="49">
        <v>4.7645556299999976</v>
      </c>
      <c r="DK13" s="49">
        <v>2.7204604099999972</v>
      </c>
      <c r="DL13" s="49">
        <v>3.53077482</v>
      </c>
      <c r="DM13" s="49">
        <v>3.5516044699999987</v>
      </c>
      <c r="DN13" s="49">
        <v>6.3676250500000036</v>
      </c>
      <c r="DO13" s="49">
        <v>4.1386172300000004</v>
      </c>
      <c r="DP13" s="49">
        <v>25.004410830000033</v>
      </c>
      <c r="DQ13" s="52">
        <v>3.6777220100000001</v>
      </c>
      <c r="DR13" s="57">
        <v>5.1862159999999999</v>
      </c>
      <c r="DS13" s="49">
        <v>9.5213140000000003</v>
      </c>
      <c r="DT13" s="49">
        <v>5.9929040000000002</v>
      </c>
      <c r="DU13" s="49">
        <v>7.4073850300000048</v>
      </c>
      <c r="DV13" s="49">
        <v>10.733976999999999</v>
      </c>
      <c r="DW13" s="76" t="s">
        <v>55</v>
      </c>
      <c r="DX13" s="76" t="s">
        <v>55</v>
      </c>
      <c r="DY13" s="76">
        <v>4.3725487000000003</v>
      </c>
      <c r="DZ13" s="76">
        <v>4.7501230000000003</v>
      </c>
      <c r="EA13" s="52">
        <v>5.1250549999999997</v>
      </c>
      <c r="EB13" s="49"/>
      <c r="EC13" s="7"/>
    </row>
    <row r="14" spans="1:133" s="5" customFormat="1" ht="17.100000000000001" customHeight="1" x14ac:dyDescent="0.2">
      <c r="A14" s="12" t="s">
        <v>6</v>
      </c>
      <c r="B14" s="57">
        <v>15.6579</v>
      </c>
      <c r="C14" s="49">
        <v>21.251113</v>
      </c>
      <c r="D14" s="49">
        <v>64.662683000000001</v>
      </c>
      <c r="E14" s="49">
        <v>15.971321</v>
      </c>
      <c r="F14" s="49">
        <v>12.797276999999999</v>
      </c>
      <c r="G14" s="49">
        <v>13.42282</v>
      </c>
      <c r="H14" s="49">
        <v>12.44251</v>
      </c>
      <c r="I14" s="49">
        <v>10.364139</v>
      </c>
      <c r="J14" s="49">
        <v>11.231586</v>
      </c>
      <c r="K14" s="49">
        <v>39.678595999999999</v>
      </c>
      <c r="L14" s="49">
        <v>11.804232000000001</v>
      </c>
      <c r="M14" s="52">
        <v>20.080174</v>
      </c>
      <c r="N14" s="57">
        <v>23.639747</v>
      </c>
      <c r="O14" s="49">
        <v>11.375678000000001</v>
      </c>
      <c r="P14" s="49">
        <v>59.485357999999998</v>
      </c>
      <c r="Q14" s="49">
        <v>21.059556000000001</v>
      </c>
      <c r="R14" s="49">
        <v>29.582377999999999</v>
      </c>
      <c r="S14" s="49">
        <v>22.878972999999998</v>
      </c>
      <c r="T14" s="49">
        <v>26.510618000000001</v>
      </c>
      <c r="U14" s="49">
        <v>40.896872000000002</v>
      </c>
      <c r="V14" s="49">
        <v>31.525601000000002</v>
      </c>
      <c r="W14" s="49">
        <v>12.784867999999999</v>
      </c>
      <c r="X14" s="49">
        <v>23.398413000000001</v>
      </c>
      <c r="Y14" s="52">
        <v>26.952480999999999</v>
      </c>
      <c r="Z14" s="57">
        <v>12.985609999999999</v>
      </c>
      <c r="AA14" s="49">
        <v>15.231802</v>
      </c>
      <c r="AB14" s="49">
        <v>18.665239</v>
      </c>
      <c r="AC14" s="49">
        <v>17.293524000000001</v>
      </c>
      <c r="AD14" s="49">
        <v>16.399352</v>
      </c>
      <c r="AE14" s="49">
        <v>14.396953999999999</v>
      </c>
      <c r="AF14" s="49">
        <v>21.064264999999999</v>
      </c>
      <c r="AG14" s="49">
        <v>19.255189000000001</v>
      </c>
      <c r="AH14" s="49">
        <v>12.903109000000001</v>
      </c>
      <c r="AI14" s="49">
        <v>19.461829999999999</v>
      </c>
      <c r="AJ14" s="49">
        <v>8.4114299999999993</v>
      </c>
      <c r="AK14" s="52">
        <v>17.117082</v>
      </c>
      <c r="AL14" s="57">
        <v>10.738522</v>
      </c>
      <c r="AM14" s="49">
        <v>13.2829</v>
      </c>
      <c r="AN14" s="49">
        <v>18.136063</v>
      </c>
      <c r="AO14" s="49">
        <v>18.976004</v>
      </c>
      <c r="AP14" s="49">
        <v>14.198266</v>
      </c>
      <c r="AQ14" s="49">
        <v>9.2488270000000004</v>
      </c>
      <c r="AR14" s="49">
        <v>21.211310999999998</v>
      </c>
      <c r="AS14" s="49">
        <v>11.252307999999999</v>
      </c>
      <c r="AT14" s="49">
        <v>38.693407000000001</v>
      </c>
      <c r="AU14" s="49">
        <v>16.802392000000001</v>
      </c>
      <c r="AV14" s="49">
        <v>43.904646999999997</v>
      </c>
      <c r="AW14" s="52">
        <v>15.334263999999999</v>
      </c>
      <c r="AX14" s="57">
        <v>26.204832</v>
      </c>
      <c r="AY14" s="49">
        <v>11.990734</v>
      </c>
      <c r="AZ14" s="49">
        <v>44.001553999999999</v>
      </c>
      <c r="BA14" s="49">
        <v>24.242422000000001</v>
      </c>
      <c r="BB14" s="49">
        <v>41.319479000000001</v>
      </c>
      <c r="BC14" s="49">
        <v>25.931837999999999</v>
      </c>
      <c r="BD14" s="49">
        <v>46.278979</v>
      </c>
      <c r="BE14" s="49">
        <v>25.081071000000001</v>
      </c>
      <c r="BF14" s="49">
        <v>19.244149</v>
      </c>
      <c r="BG14" s="49">
        <v>22.837658999999999</v>
      </c>
      <c r="BH14" s="49">
        <v>10.808916999999999</v>
      </c>
      <c r="BI14" s="52">
        <v>13.951195</v>
      </c>
      <c r="BJ14" s="57">
        <v>2.8109299999999999</v>
      </c>
      <c r="BK14" s="49">
        <v>6.6865769999999998</v>
      </c>
      <c r="BL14" s="49">
        <v>11.773586</v>
      </c>
      <c r="BM14" s="49">
        <f>6741600/1000000</f>
        <v>6.7416</v>
      </c>
      <c r="BN14" s="49">
        <f>1611166/1000000</f>
        <v>1.6111660000000001</v>
      </c>
      <c r="BO14" s="49">
        <f>5850885/1000000</f>
        <v>5.8508849999999999</v>
      </c>
      <c r="BP14" s="49">
        <f>498201/1000000</f>
        <v>0.498201</v>
      </c>
      <c r="BQ14" s="49">
        <f>7723964/1000000</f>
        <v>7.7239639999999996</v>
      </c>
      <c r="BR14" s="49">
        <f>5681789/1000000</f>
        <v>5.6817890000000002</v>
      </c>
      <c r="BS14" s="49">
        <v>3.1</v>
      </c>
      <c r="BT14" s="49">
        <f>7489460/1000000</f>
        <v>7.4894600000000002</v>
      </c>
      <c r="BU14" s="52">
        <f>8952082/1000000</f>
        <v>8.9520820000000008</v>
      </c>
      <c r="BV14" s="57">
        <f>14278758/1000000</f>
        <v>14.278758</v>
      </c>
      <c r="BW14" s="49">
        <f>12071764/1000000</f>
        <v>12.071764</v>
      </c>
      <c r="BX14" s="49">
        <f>10485413/1000000</f>
        <v>10.485412999999999</v>
      </c>
      <c r="BY14" s="49">
        <f>26426762/1000000</f>
        <v>26.426762</v>
      </c>
      <c r="BZ14" s="49">
        <f>71488039/1000000</f>
        <v>71.488039000000001</v>
      </c>
      <c r="CA14" s="49">
        <f>10120624/1000000</f>
        <v>10.120623999999999</v>
      </c>
      <c r="CB14" s="49">
        <f>74373391/1000000</f>
        <v>74.373390999999998</v>
      </c>
      <c r="CC14" s="49">
        <v>7.9095019999999998</v>
      </c>
      <c r="CD14" s="49">
        <f>13980340/1000000</f>
        <v>13.98034</v>
      </c>
      <c r="CE14" s="49">
        <f>11773501/1000000</f>
        <v>11.773501</v>
      </c>
      <c r="CF14" s="49">
        <f>10794178/1000000</f>
        <v>10.794178</v>
      </c>
      <c r="CG14" s="52">
        <f>25264091/1000000</f>
        <v>25.264091000000001</v>
      </c>
      <c r="CH14" s="57">
        <v>14.95153</v>
      </c>
      <c r="CI14" s="49">
        <v>11.921006999999999</v>
      </c>
      <c r="CJ14" s="49">
        <v>10.19736</v>
      </c>
      <c r="CK14" s="49">
        <v>41.102007</v>
      </c>
      <c r="CL14" s="49">
        <v>7.7607679999999997</v>
      </c>
      <c r="CM14" s="49">
        <v>18.087112999999999</v>
      </c>
      <c r="CN14" s="49">
        <v>10.944366</v>
      </c>
      <c r="CO14" s="49">
        <v>11.399519</v>
      </c>
      <c r="CP14" s="49">
        <v>11.779268999999999</v>
      </c>
      <c r="CQ14" s="49">
        <v>14.845901</v>
      </c>
      <c r="CR14" s="49">
        <v>17.81683</v>
      </c>
      <c r="CS14" s="52">
        <v>11.018352999999999</v>
      </c>
      <c r="CT14" s="57">
        <v>8.3209266499999952</v>
      </c>
      <c r="CU14" s="49">
        <v>12.736963260000032</v>
      </c>
      <c r="CV14" s="49">
        <v>12.470254300000002</v>
      </c>
      <c r="CW14" s="49">
        <v>12.62667096</v>
      </c>
      <c r="CX14" s="49">
        <v>19.476016690000037</v>
      </c>
      <c r="CY14" s="49">
        <v>13.906779190000005</v>
      </c>
      <c r="CZ14" s="49">
        <v>13.448145089999999</v>
      </c>
      <c r="DA14" s="49">
        <v>11.304462870000005</v>
      </c>
      <c r="DB14" s="49">
        <v>12.845325539999999</v>
      </c>
      <c r="DC14" s="49">
        <v>15.654115030000026</v>
      </c>
      <c r="DD14" s="49">
        <v>15.489665169999983</v>
      </c>
      <c r="DE14" s="52">
        <v>7.8700517400000045</v>
      </c>
      <c r="DF14" s="57">
        <v>43.006232190000055</v>
      </c>
      <c r="DG14" s="49">
        <v>12.56248654</v>
      </c>
      <c r="DH14" s="49">
        <v>17.273566739999985</v>
      </c>
      <c r="DI14" s="49">
        <v>14.248824530000002</v>
      </c>
      <c r="DJ14" s="49">
        <v>11.006496199999996</v>
      </c>
      <c r="DK14" s="49">
        <v>69.561028790000066</v>
      </c>
      <c r="DL14" s="49">
        <v>12.895927900000011</v>
      </c>
      <c r="DM14" s="49">
        <v>60.581776590000011</v>
      </c>
      <c r="DN14" s="49">
        <v>11.636788449999985</v>
      </c>
      <c r="DO14" s="49">
        <v>20.037094580000012</v>
      </c>
      <c r="DP14" s="49">
        <v>13.363265620000005</v>
      </c>
      <c r="DQ14" s="52">
        <v>13.080556819999982</v>
      </c>
      <c r="DR14" s="57">
        <v>9.972156</v>
      </c>
      <c r="DS14" s="49">
        <v>38.267837</v>
      </c>
      <c r="DT14" s="49">
        <v>13.400446000000001</v>
      </c>
      <c r="DU14" s="49">
        <v>8.2994556700000004</v>
      </c>
      <c r="DV14" s="49">
        <v>10.418635999999999</v>
      </c>
      <c r="DW14" s="76" t="s">
        <v>55</v>
      </c>
      <c r="DX14" s="76" t="s">
        <v>55</v>
      </c>
      <c r="DY14" s="76">
        <v>36.396170539999979</v>
      </c>
      <c r="DZ14" s="76">
        <v>8.7821949999999998</v>
      </c>
      <c r="EA14" s="52">
        <v>16.816697000000001</v>
      </c>
      <c r="EB14" s="49"/>
      <c r="EC14" s="7"/>
    </row>
    <row r="15" spans="1:133" s="5" customFormat="1" ht="17.100000000000001" customHeight="1" x14ac:dyDescent="0.2">
      <c r="A15" s="12" t="s">
        <v>7</v>
      </c>
      <c r="B15" s="57">
        <v>5.1341489999999999</v>
      </c>
      <c r="C15" s="49">
        <v>3.2579310000000001</v>
      </c>
      <c r="D15" s="49">
        <v>7.259239</v>
      </c>
      <c r="E15" s="49">
        <v>3.9583309999999998</v>
      </c>
      <c r="F15" s="49">
        <v>9.1425680000000007</v>
      </c>
      <c r="G15" s="49">
        <v>10.147637</v>
      </c>
      <c r="H15" s="49">
        <v>4.5595299999999996</v>
      </c>
      <c r="I15" s="49">
        <v>4.3142180000000003</v>
      </c>
      <c r="J15" s="49">
        <v>3.8082549999999999</v>
      </c>
      <c r="K15" s="49">
        <v>6.6562460000000003</v>
      </c>
      <c r="L15" s="49">
        <v>2.5185680000000001</v>
      </c>
      <c r="M15" s="52">
        <v>5.0094479999999999</v>
      </c>
      <c r="N15" s="57">
        <v>5.4118769999999996</v>
      </c>
      <c r="O15" s="49">
        <v>3.8036340000000002</v>
      </c>
      <c r="P15" s="49">
        <v>5.8068010000000001</v>
      </c>
      <c r="Q15" s="49">
        <v>7.9121009999999998</v>
      </c>
      <c r="R15" s="49">
        <v>6.8224629999999999</v>
      </c>
      <c r="S15" s="49">
        <v>2.8658380000000001</v>
      </c>
      <c r="T15" s="49">
        <v>2.5402520000000002</v>
      </c>
      <c r="U15" s="49">
        <v>3.9692980000000002</v>
      </c>
      <c r="V15" s="49">
        <v>4.1062729999999998</v>
      </c>
      <c r="W15" s="49">
        <v>4.8439690000000004</v>
      </c>
      <c r="X15" s="49">
        <v>5.2078670000000002</v>
      </c>
      <c r="Y15" s="52">
        <v>9.4603350000000006</v>
      </c>
      <c r="Z15" s="57">
        <v>2.4530340000000002</v>
      </c>
      <c r="AA15" s="49">
        <v>4.1198050000000004</v>
      </c>
      <c r="AB15" s="49">
        <v>4.7825680000000004</v>
      </c>
      <c r="AC15" s="49">
        <v>3.230877</v>
      </c>
      <c r="AD15" s="49">
        <v>6.9475569999999998</v>
      </c>
      <c r="AE15" s="49">
        <v>5.9708139999999998</v>
      </c>
      <c r="AF15" s="49">
        <v>5.0045529999999996</v>
      </c>
      <c r="AG15" s="49">
        <v>5.9590490000000003</v>
      </c>
      <c r="AH15" s="49">
        <v>5.7961289999999996</v>
      </c>
      <c r="AI15" s="49">
        <v>7.7271879999999999</v>
      </c>
      <c r="AJ15" s="49">
        <v>177.27139299999999</v>
      </c>
      <c r="AK15" s="52">
        <v>1.7182109999999999</v>
      </c>
      <c r="AL15" s="57">
        <v>6.9163990000000002</v>
      </c>
      <c r="AM15" s="49">
        <v>4.993417</v>
      </c>
      <c r="AN15" s="49">
        <v>8.4050360000000008</v>
      </c>
      <c r="AO15" s="49">
        <v>8.1582050000000006</v>
      </c>
      <c r="AP15" s="49">
        <v>3.9682119999999999</v>
      </c>
      <c r="AQ15" s="49">
        <v>1.911492</v>
      </c>
      <c r="AR15" s="49">
        <v>27.882601999999999</v>
      </c>
      <c r="AS15" s="49">
        <v>6.4535270000000002</v>
      </c>
      <c r="AT15" s="49">
        <v>3.7272850000000002</v>
      </c>
      <c r="AU15" s="49">
        <v>8.7939830000000008</v>
      </c>
      <c r="AV15" s="49">
        <v>5.2405239999999997</v>
      </c>
      <c r="AW15" s="52">
        <v>2.8512379999999999</v>
      </c>
      <c r="AX15" s="57">
        <v>5.6228480000000003</v>
      </c>
      <c r="AY15" s="49">
        <v>2.7965779999999998</v>
      </c>
      <c r="AZ15" s="49">
        <v>7.0272930000000002</v>
      </c>
      <c r="BA15" s="49">
        <v>9.175122</v>
      </c>
      <c r="BB15" s="49">
        <v>5.587027</v>
      </c>
      <c r="BC15" s="49">
        <v>4.7553809999999999</v>
      </c>
      <c r="BD15" s="49">
        <v>7.7333299999999996</v>
      </c>
      <c r="BE15" s="49">
        <v>3.12886</v>
      </c>
      <c r="BF15" s="49">
        <v>4.0111489999999996</v>
      </c>
      <c r="BG15" s="49">
        <v>10.640307</v>
      </c>
      <c r="BH15" s="49">
        <v>5.0192600000000001</v>
      </c>
      <c r="BI15" s="52">
        <v>2.9694660000000002</v>
      </c>
      <c r="BJ15" s="57">
        <v>2.0849739999999999</v>
      </c>
      <c r="BK15" s="49">
        <v>1.5799240000000001</v>
      </c>
      <c r="BL15" s="49">
        <v>2.3027199999999999</v>
      </c>
      <c r="BM15" s="49">
        <f>423786/1000000</f>
        <v>0.423786</v>
      </c>
      <c r="BN15" s="49">
        <f>4070884/1000000</f>
        <v>4.0708840000000004</v>
      </c>
      <c r="BO15" s="49">
        <f>592761/1000000</f>
        <v>0.59276099999999998</v>
      </c>
      <c r="BP15" s="49">
        <f>1685014/1000000</f>
        <v>1.685014</v>
      </c>
      <c r="BQ15" s="49">
        <f>2747086/1000000</f>
        <v>2.7470859999999999</v>
      </c>
      <c r="BR15" s="49">
        <f>3068203/1000000</f>
        <v>3.068203</v>
      </c>
      <c r="BS15" s="49">
        <v>1</v>
      </c>
      <c r="BT15" s="49">
        <f>7620179/1000000</f>
        <v>7.6201790000000003</v>
      </c>
      <c r="BU15" s="52">
        <f>2731412/1000000</f>
        <v>2.7314120000000002</v>
      </c>
      <c r="BV15" s="57">
        <f>3931790/1000000</f>
        <v>3.9317899999999999</v>
      </c>
      <c r="BW15" s="49">
        <f>2542627/1000000</f>
        <v>2.542627</v>
      </c>
      <c r="BX15" s="49">
        <f>6021867/1000000</f>
        <v>6.0218670000000003</v>
      </c>
      <c r="BY15" s="49">
        <f>2388790/1000000</f>
        <v>2.3887900000000002</v>
      </c>
      <c r="BZ15" s="49">
        <f>840613/1000000</f>
        <v>0.84061300000000005</v>
      </c>
      <c r="CA15" s="49">
        <f>2764391/1000000</f>
        <v>2.7643909999999998</v>
      </c>
      <c r="CB15" s="49">
        <f>4603246/1000000</f>
        <v>4.6032460000000004</v>
      </c>
      <c r="CC15" s="49">
        <f>2243357/1000000</f>
        <v>2.243357</v>
      </c>
      <c r="CD15" s="49">
        <f>4831384/1000000</f>
        <v>4.8313839999999999</v>
      </c>
      <c r="CE15" s="49">
        <f>2760335/1000000</f>
        <v>2.760335</v>
      </c>
      <c r="CF15" s="49">
        <f>3634563/1000000</f>
        <v>3.634563</v>
      </c>
      <c r="CG15" s="52">
        <f>4853981/1000000</f>
        <v>4.8539810000000001</v>
      </c>
      <c r="CH15" s="57">
        <v>3.3023920000000002</v>
      </c>
      <c r="CI15" s="49">
        <v>8.1253609999999998</v>
      </c>
      <c r="CJ15" s="49">
        <v>4.3842829999999999</v>
      </c>
      <c r="CK15" s="49">
        <v>2.889831</v>
      </c>
      <c r="CL15" s="49">
        <v>2.1223190000000001</v>
      </c>
      <c r="CM15" s="49">
        <v>3.5314369999999999</v>
      </c>
      <c r="CN15" s="49">
        <v>3.2837049999999999</v>
      </c>
      <c r="CO15" s="49">
        <v>3.6730130000000001</v>
      </c>
      <c r="CP15" s="49">
        <v>1.981581</v>
      </c>
      <c r="CQ15" s="49">
        <v>2.9472139999999998</v>
      </c>
      <c r="CR15" s="49">
        <v>4.7113389999999997</v>
      </c>
      <c r="CS15" s="52">
        <v>3.2405819999999999</v>
      </c>
      <c r="CT15" s="57">
        <v>23.912403820000009</v>
      </c>
      <c r="CU15" s="49">
        <v>2.5307038099999954</v>
      </c>
      <c r="CV15" s="49">
        <v>1.4493967100000045</v>
      </c>
      <c r="CW15" s="49">
        <v>1.476638360000003</v>
      </c>
      <c r="CX15" s="49">
        <v>3.1076874000000037</v>
      </c>
      <c r="CY15" s="49">
        <v>3.6153149899999946</v>
      </c>
      <c r="CZ15" s="49">
        <v>1.3178668100000017</v>
      </c>
      <c r="DA15" s="49">
        <v>5.6945311999999948</v>
      </c>
      <c r="DB15" s="49">
        <v>2.3963363800000024</v>
      </c>
      <c r="DC15" s="49">
        <v>4.7970843399999925</v>
      </c>
      <c r="DD15" s="49">
        <v>3.5060152100000095</v>
      </c>
      <c r="DE15" s="52">
        <v>2.6796759900000104</v>
      </c>
      <c r="DF15" s="57">
        <v>2.5204115900000001</v>
      </c>
      <c r="DG15" s="49">
        <v>3.1122427799999985</v>
      </c>
      <c r="DH15" s="49">
        <v>2.7818343400000072</v>
      </c>
      <c r="DI15" s="49">
        <v>1.4438424200000008</v>
      </c>
      <c r="DJ15" s="49">
        <v>3.5262489800000076</v>
      </c>
      <c r="DK15" s="49">
        <v>2.4382881600000013</v>
      </c>
      <c r="DL15" s="49">
        <v>3.0078925699999957</v>
      </c>
      <c r="DM15" s="49">
        <v>2.6250695000000022</v>
      </c>
      <c r="DN15" s="49">
        <v>2.6005118200000017</v>
      </c>
      <c r="DO15" s="49">
        <v>2.6226191799999907</v>
      </c>
      <c r="DP15" s="49">
        <v>3.1308781900000064</v>
      </c>
      <c r="DQ15" s="52">
        <v>3.448085680000005</v>
      </c>
      <c r="DR15" s="57">
        <v>3.5200049999999998</v>
      </c>
      <c r="DS15" s="49">
        <v>3.261368</v>
      </c>
      <c r="DT15" s="49">
        <v>1.889651</v>
      </c>
      <c r="DU15" s="49">
        <v>0.81666653999999872</v>
      </c>
      <c r="DV15" s="49">
        <v>3.062208</v>
      </c>
      <c r="DW15" s="76" t="s">
        <v>55</v>
      </c>
      <c r="DX15" s="76" t="s">
        <v>55</v>
      </c>
      <c r="DY15" s="76">
        <v>1.62960219</v>
      </c>
      <c r="DZ15" s="76">
        <v>1.7869209100000025</v>
      </c>
      <c r="EA15" s="52">
        <v>3.9739330000000002</v>
      </c>
      <c r="EB15" s="49"/>
      <c r="EC15" s="7"/>
    </row>
    <row r="16" spans="1:133" s="5" customFormat="1" ht="17.100000000000001" customHeight="1" x14ac:dyDescent="0.2">
      <c r="A16" s="13" t="s">
        <v>11</v>
      </c>
      <c r="B16" s="58">
        <v>0.85372199999999998</v>
      </c>
      <c r="C16" s="50">
        <v>0.61335700000000004</v>
      </c>
      <c r="D16" s="50">
        <v>0.85259399999999996</v>
      </c>
      <c r="E16" s="50">
        <v>0.71668100000000001</v>
      </c>
      <c r="F16" s="50">
        <v>0.75528300000000004</v>
      </c>
      <c r="G16" s="50">
        <v>1.0744819999999999</v>
      </c>
      <c r="H16" s="50">
        <v>1.4455499999999999</v>
      </c>
      <c r="I16" s="50">
        <v>1.196007</v>
      </c>
      <c r="J16" s="50">
        <v>0.85923499999999997</v>
      </c>
      <c r="K16" s="50">
        <v>0.57839300000000005</v>
      </c>
      <c r="L16" s="50">
        <v>0.91243300000000005</v>
      </c>
      <c r="M16" s="53">
        <v>1.465819</v>
      </c>
      <c r="N16" s="58">
        <v>0.92151499999999997</v>
      </c>
      <c r="O16" s="50">
        <v>0.78441499999999997</v>
      </c>
      <c r="P16" s="50">
        <v>0.81119600000000003</v>
      </c>
      <c r="Q16" s="50">
        <v>0.67849999999999999</v>
      </c>
      <c r="R16" s="50">
        <v>0.95965299999999998</v>
      </c>
      <c r="S16" s="50">
        <v>0.91445299999999996</v>
      </c>
      <c r="T16" s="50">
        <v>1.667816</v>
      </c>
      <c r="U16" s="50">
        <v>1.310495</v>
      </c>
      <c r="V16" s="50">
        <v>0.73123099999999996</v>
      </c>
      <c r="W16" s="50">
        <v>0.77212999999999998</v>
      </c>
      <c r="X16" s="50">
        <v>1.1072610000000001</v>
      </c>
      <c r="Y16" s="53">
        <v>1.3428169999999999</v>
      </c>
      <c r="Z16" s="58">
        <v>1.0542830000000001</v>
      </c>
      <c r="AA16" s="50">
        <v>0.87184099999999998</v>
      </c>
      <c r="AB16" s="50">
        <v>1.2356990000000001</v>
      </c>
      <c r="AC16" s="50">
        <v>0.77575000000000005</v>
      </c>
      <c r="AD16" s="50">
        <v>2.9914860000000001</v>
      </c>
      <c r="AE16" s="50">
        <v>1.521652</v>
      </c>
      <c r="AF16" s="50">
        <v>2.0971959999999998</v>
      </c>
      <c r="AG16" s="50">
        <v>0.99505600000000005</v>
      </c>
      <c r="AH16" s="50">
        <v>0.54953399999999997</v>
      </c>
      <c r="AI16" s="50">
        <v>0.78734999999999999</v>
      </c>
      <c r="AJ16" s="50">
        <v>0.95088700000000004</v>
      </c>
      <c r="AK16" s="53">
        <v>14.822321000000001</v>
      </c>
      <c r="AL16" s="58">
        <v>1.550368</v>
      </c>
      <c r="AM16" s="50">
        <v>0.40959499999999999</v>
      </c>
      <c r="AN16" s="50">
        <v>0.595831</v>
      </c>
      <c r="AO16" s="50">
        <v>0.56878799999999996</v>
      </c>
      <c r="AP16" s="50">
        <v>0.89797000000000005</v>
      </c>
      <c r="AQ16" s="50">
        <v>0.87000999999999995</v>
      </c>
      <c r="AR16" s="50">
        <v>2.5203570000000002</v>
      </c>
      <c r="AS16" s="50">
        <v>1.7436510000000001</v>
      </c>
      <c r="AT16" s="50">
        <v>0.93922300000000003</v>
      </c>
      <c r="AU16" s="50">
        <v>1.1596219999999999</v>
      </c>
      <c r="AV16" s="50">
        <v>0.79484900000000003</v>
      </c>
      <c r="AW16" s="53">
        <v>0.74248700000000001</v>
      </c>
      <c r="AX16" s="58">
        <v>0.59281399999999995</v>
      </c>
      <c r="AY16" s="50">
        <v>0.63673599999999997</v>
      </c>
      <c r="AZ16" s="50">
        <v>0.74419000000000002</v>
      </c>
      <c r="BA16" s="50">
        <v>0.53585899999999997</v>
      </c>
      <c r="BB16" s="50">
        <v>0.91901299999999997</v>
      </c>
      <c r="BC16" s="50">
        <v>1.2010590000000001</v>
      </c>
      <c r="BD16" s="50">
        <v>1.0688519999999999</v>
      </c>
      <c r="BE16" s="50">
        <v>0.67280399999999996</v>
      </c>
      <c r="BF16" s="50">
        <v>0.51538200000000001</v>
      </c>
      <c r="BG16" s="50">
        <v>0.77876400000000001</v>
      </c>
      <c r="BH16" s="50">
        <v>0.58130599999999999</v>
      </c>
      <c r="BI16" s="53">
        <v>0.191273</v>
      </c>
      <c r="BJ16" s="58">
        <v>0.22814000000000001</v>
      </c>
      <c r="BK16" s="50">
        <v>0.24157400000000001</v>
      </c>
      <c r="BL16" s="50">
        <v>0.18337400000000001</v>
      </c>
      <c r="BM16" s="50">
        <f>24850/1000000</f>
        <v>2.4850000000000001E-2</v>
      </c>
      <c r="BN16" s="50">
        <f>5823666/1000000</f>
        <v>5.8236660000000002</v>
      </c>
      <c r="BO16" s="50">
        <f>1254994/1000000</f>
        <v>1.2549939999999999</v>
      </c>
      <c r="BP16" s="50">
        <f>1401513/1000000</f>
        <v>1.401513</v>
      </c>
      <c r="BQ16" s="50">
        <f>2011049/1000000</f>
        <v>2.0110489999999999</v>
      </c>
      <c r="BR16" s="50">
        <f>3379503/1000000</f>
        <v>3.3795030000000001</v>
      </c>
      <c r="BS16" s="50">
        <v>0.1</v>
      </c>
      <c r="BT16" s="50">
        <f>1684624/1000000</f>
        <v>1.6846239999999999</v>
      </c>
      <c r="BU16" s="53">
        <f>1297881/1000000</f>
        <v>1.2978810000000001</v>
      </c>
      <c r="BV16" s="58">
        <f>1383230/1000000</f>
        <v>1.38323</v>
      </c>
      <c r="BW16" s="50">
        <f>734183/1000000</f>
        <v>0.73418300000000003</v>
      </c>
      <c r="BX16" s="50">
        <f>1399309/1000000</f>
        <v>1.3993089999999999</v>
      </c>
      <c r="BY16" s="50">
        <f>1798611/1000000</f>
        <v>1.798611</v>
      </c>
      <c r="BZ16" s="50">
        <f>2210514/1000000</f>
        <v>2.2105139999999999</v>
      </c>
      <c r="CA16" s="50">
        <f>227237/1000000</f>
        <v>0.22723699999999999</v>
      </c>
      <c r="CB16" s="50">
        <f>2622380/1000000</f>
        <v>2.6223800000000002</v>
      </c>
      <c r="CC16" s="50">
        <f>738271/1000000</f>
        <v>0.73827100000000001</v>
      </c>
      <c r="CD16" s="50">
        <f>3198630/1000000</f>
        <v>3.1986300000000001</v>
      </c>
      <c r="CE16" s="50">
        <f>910443/1000000</f>
        <v>0.910443</v>
      </c>
      <c r="CF16" s="50">
        <f>1988501/1000000</f>
        <v>1.9885010000000001</v>
      </c>
      <c r="CG16" s="53">
        <f>3046830/1000000</f>
        <v>3.0468299999999999</v>
      </c>
      <c r="CH16" s="58">
        <v>2.1583199999999998</v>
      </c>
      <c r="CI16" s="50">
        <v>0.65398699999999999</v>
      </c>
      <c r="CJ16" s="50">
        <v>2.8072849999999998</v>
      </c>
      <c r="CK16" s="50">
        <v>0.97770699999999999</v>
      </c>
      <c r="CL16" s="50">
        <v>1.018689</v>
      </c>
      <c r="CM16" s="50">
        <v>1.02197</v>
      </c>
      <c r="CN16" s="50">
        <v>1.1503950000000001</v>
      </c>
      <c r="CO16" s="50">
        <v>0.69767900000000005</v>
      </c>
      <c r="CP16" s="50">
        <v>1.4088130000000001</v>
      </c>
      <c r="CQ16" s="50">
        <v>0.83222399999999996</v>
      </c>
      <c r="CR16" s="50">
        <v>0.82617700000000005</v>
      </c>
      <c r="CS16" s="53">
        <v>0.59548699999999999</v>
      </c>
      <c r="CT16" s="58">
        <v>0.64605312000000048</v>
      </c>
      <c r="CU16" s="50">
        <v>1.4040497599999997</v>
      </c>
      <c r="CV16" s="50">
        <v>0.53874450000000007</v>
      </c>
      <c r="CW16" s="50">
        <v>0.6871165600000001</v>
      </c>
      <c r="CX16" s="50">
        <v>0.39053332000000007</v>
      </c>
      <c r="CY16" s="50">
        <v>0.82955779000000007</v>
      </c>
      <c r="CZ16" s="50">
        <v>1.03392642</v>
      </c>
      <c r="DA16" s="50">
        <v>1.7474594100000005</v>
      </c>
      <c r="DB16" s="50">
        <v>0.74721364000000001</v>
      </c>
      <c r="DC16" s="50">
        <v>0.38902704999999999</v>
      </c>
      <c r="DD16" s="50">
        <v>1.0032410899999999</v>
      </c>
      <c r="DE16" s="53">
        <v>0.41398095000000007</v>
      </c>
      <c r="DF16" s="58">
        <v>1.3456102600000002</v>
      </c>
      <c r="DG16" s="50">
        <v>0.36645597999999996</v>
      </c>
      <c r="DH16" s="50">
        <v>0.37213340999999994</v>
      </c>
      <c r="DI16" s="50">
        <v>1.3230954599999998</v>
      </c>
      <c r="DJ16" s="50">
        <v>1.5615598599999998</v>
      </c>
      <c r="DK16" s="50">
        <v>1.5104328900000004</v>
      </c>
      <c r="DL16" s="50">
        <v>1.2761463499999999</v>
      </c>
      <c r="DM16" s="50">
        <v>1.3412455700000003</v>
      </c>
      <c r="DN16" s="50">
        <v>0.85988242000000004</v>
      </c>
      <c r="DO16" s="50">
        <v>2.2522527299999995</v>
      </c>
      <c r="DP16" s="50">
        <v>1.51691146</v>
      </c>
      <c r="DQ16" s="53">
        <v>0.63667558999999996</v>
      </c>
      <c r="DR16" s="58">
        <v>2.186102</v>
      </c>
      <c r="DS16" s="50">
        <v>6.1096159999999999</v>
      </c>
      <c r="DT16" s="50">
        <v>2.409513</v>
      </c>
      <c r="DU16" s="50">
        <v>3.7016751100000009</v>
      </c>
      <c r="DV16" s="50">
        <v>2.2428140000000001</v>
      </c>
      <c r="DW16" s="77" t="s">
        <v>55</v>
      </c>
      <c r="DX16" s="77" t="s">
        <v>55</v>
      </c>
      <c r="DY16" s="77">
        <v>3.0103088200000006</v>
      </c>
      <c r="DZ16" s="77">
        <v>5.278537</v>
      </c>
      <c r="EA16" s="53">
        <v>4.430822</v>
      </c>
      <c r="EB16" s="49"/>
      <c r="EC16" s="7"/>
    </row>
    <row r="17" spans="1:137" s="5" customFormat="1" ht="17.100000000000001" customHeight="1" x14ac:dyDescent="0.25">
      <c r="A17" s="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R17"/>
      <c r="BT17" s="31"/>
      <c r="BU17" s="31"/>
      <c r="BV17" s="31"/>
      <c r="BW17" s="31"/>
      <c r="BZ17" s="32"/>
      <c r="CC17" s="32"/>
      <c r="CE17" s="32"/>
      <c r="CF17" s="32"/>
      <c r="CW17" s="32"/>
      <c r="CY17" s="32"/>
    </row>
    <row r="18" spans="1:137" s="5" customFormat="1" ht="17.100000000000001" customHeight="1" x14ac:dyDescent="0.25">
      <c r="A18" s="10" t="s">
        <v>24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R18"/>
      <c r="CV18" s="32"/>
      <c r="CY18" s="32"/>
      <c r="DB18" s="32"/>
      <c r="DE18" s="32"/>
      <c r="DH18" s="32"/>
    </row>
    <row r="19" spans="1:137" s="1" customFormat="1" ht="15" customHeight="1" x14ac:dyDescent="0.25">
      <c r="A19" s="2" t="s">
        <v>53</v>
      </c>
      <c r="R19"/>
      <c r="CV19" s="32"/>
      <c r="CY19" s="32"/>
      <c r="DB19" s="32"/>
      <c r="DE19" s="32"/>
      <c r="DH19" s="32"/>
      <c r="DK19" s="61"/>
      <c r="DO19" s="61"/>
    </row>
    <row r="20" spans="1:137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CV20" s="32"/>
      <c r="CW20" s="7"/>
      <c r="CY20" s="32"/>
      <c r="DB20" s="32"/>
      <c r="DE20" s="32"/>
      <c r="DF20" s="65"/>
      <c r="DG20" s="65"/>
      <c r="DH20" s="66"/>
      <c r="DI20" s="65"/>
      <c r="DJ20" s="65"/>
      <c r="DK20" s="67"/>
      <c r="DL20" s="65"/>
      <c r="DM20" s="65"/>
      <c r="DN20" s="65"/>
      <c r="DO20" s="67"/>
      <c r="DP20" s="65"/>
      <c r="DQ20" s="65"/>
      <c r="DU20" s="73"/>
      <c r="DV20" s="73"/>
      <c r="DW20" s="74"/>
      <c r="DX20" s="74"/>
      <c r="DY20" s="74"/>
      <c r="DZ20" s="74"/>
      <c r="EA20" s="69"/>
      <c r="EB20" s="69"/>
      <c r="EC20" s="69"/>
      <c r="ED20" s="69"/>
      <c r="EE20" s="69"/>
      <c r="EF20" s="69"/>
      <c r="EG20" s="69"/>
    </row>
    <row r="21" spans="1:137" x14ac:dyDescent="0.25">
      <c r="A21" s="6" t="s">
        <v>26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CV21" s="32"/>
      <c r="CW21" s="7"/>
      <c r="CY21" s="32"/>
      <c r="DB21" s="32"/>
      <c r="DE21" s="32"/>
      <c r="DF21" s="65"/>
      <c r="DG21" s="65"/>
      <c r="DH21" s="66"/>
      <c r="DI21" s="65"/>
      <c r="DJ21" s="65"/>
      <c r="DK21" s="67"/>
      <c r="DL21" s="65"/>
      <c r="DM21" s="65"/>
      <c r="DN21" s="65"/>
      <c r="DO21" s="67"/>
      <c r="DP21" s="65"/>
      <c r="DQ21" s="65"/>
      <c r="DU21" s="73"/>
      <c r="DV21" s="73"/>
      <c r="DW21" s="75"/>
      <c r="DX21" s="74"/>
      <c r="DY21" s="74"/>
      <c r="DZ21" s="74"/>
      <c r="EA21" s="69"/>
      <c r="EB21" s="69"/>
      <c r="EC21" s="69"/>
      <c r="ED21" s="69"/>
      <c r="EE21" s="69"/>
      <c r="EF21" s="69"/>
      <c r="EG21" s="69"/>
    </row>
    <row r="22" spans="1:137" x14ac:dyDescent="0.25">
      <c r="A22" s="6" t="s">
        <v>27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CV22" s="32"/>
      <c r="CW22" s="7"/>
      <c r="CY22" s="32"/>
      <c r="DB22" s="32"/>
      <c r="DE22" s="32"/>
      <c r="DF22" s="65"/>
      <c r="DG22" s="65"/>
      <c r="DH22" s="66"/>
      <c r="DI22" s="65"/>
      <c r="DJ22" s="65"/>
      <c r="DK22" s="67"/>
      <c r="DL22" s="65"/>
      <c r="DM22" s="68"/>
      <c r="DN22" s="65"/>
      <c r="DO22" s="67"/>
      <c r="DP22" s="65"/>
      <c r="DQ22" s="65"/>
      <c r="DU22" s="73"/>
      <c r="DV22" s="73"/>
      <c r="DW22" s="75"/>
      <c r="DX22" s="74"/>
      <c r="DY22" s="74"/>
      <c r="DZ22" s="74"/>
      <c r="EA22" s="69"/>
      <c r="EB22" s="69"/>
      <c r="EC22" s="69"/>
      <c r="ED22" s="69"/>
      <c r="EE22" s="69"/>
      <c r="EF22" s="69"/>
      <c r="EG22" s="69"/>
    </row>
    <row r="23" spans="1:137" x14ac:dyDescent="0.25">
      <c r="A23" s="6" t="s">
        <v>56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CV23" s="32"/>
      <c r="CW23" s="7"/>
      <c r="CY23" s="32"/>
      <c r="DB23" s="32"/>
      <c r="DE23" s="32"/>
      <c r="DF23" s="65"/>
      <c r="DG23" s="65"/>
      <c r="DH23" s="65"/>
      <c r="DI23" s="65"/>
      <c r="DJ23" s="65"/>
      <c r="DK23" s="65"/>
      <c r="DL23" s="65"/>
      <c r="DM23" s="68"/>
      <c r="DN23" s="65"/>
      <c r="DO23" s="67"/>
      <c r="DP23" s="65"/>
      <c r="DQ23" s="65"/>
      <c r="DU23" s="73"/>
      <c r="DV23" s="73"/>
      <c r="DW23" s="75"/>
      <c r="DX23" s="74"/>
      <c r="DY23" s="74"/>
      <c r="DZ23" s="74"/>
      <c r="EA23" s="69"/>
      <c r="EB23" s="69"/>
      <c r="EC23" s="69"/>
      <c r="ED23" s="69"/>
      <c r="EE23" s="69"/>
      <c r="EF23" s="69"/>
      <c r="EG23" s="69"/>
    </row>
    <row r="24" spans="1:137" x14ac:dyDescent="0.25">
      <c r="A24" s="6" t="s">
        <v>57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CV24" s="32"/>
      <c r="CW24" s="7"/>
      <c r="CY24" s="32"/>
      <c r="DB24" s="32"/>
      <c r="DE24" s="32"/>
      <c r="DF24" s="65"/>
      <c r="DG24" s="65"/>
      <c r="DH24" s="65"/>
      <c r="DI24" s="65"/>
      <c r="DJ24" s="65"/>
      <c r="DK24" s="65"/>
      <c r="DL24" s="65"/>
      <c r="DM24" s="68"/>
      <c r="DN24" s="65"/>
      <c r="DO24" s="67"/>
      <c r="DP24" s="65"/>
      <c r="DQ24" s="69"/>
      <c r="DR24" s="62"/>
      <c r="DU24" s="73"/>
      <c r="DV24" s="73"/>
      <c r="DW24" s="75"/>
      <c r="DX24" s="74"/>
      <c r="DY24" s="74"/>
      <c r="DZ24" s="74"/>
      <c r="EA24" s="69"/>
      <c r="EB24" s="69"/>
      <c r="EC24" s="69"/>
      <c r="ED24" s="69"/>
      <c r="EE24" s="69"/>
      <c r="EF24" s="69"/>
      <c r="EG24" s="69"/>
    </row>
    <row r="25" spans="1:137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CV25" s="32"/>
      <c r="CW25" s="7"/>
      <c r="CY25" s="32"/>
      <c r="DB25" s="32"/>
      <c r="DE25" s="32"/>
      <c r="DF25" s="66"/>
      <c r="DG25" s="65"/>
      <c r="DH25" s="66"/>
      <c r="DI25" s="65"/>
      <c r="DJ25" s="66"/>
      <c r="DK25" s="65"/>
      <c r="DL25" s="65"/>
      <c r="DM25" s="68"/>
      <c r="DN25" s="65"/>
      <c r="DO25" s="67"/>
      <c r="DP25" s="65"/>
      <c r="DQ25" s="69"/>
      <c r="DR25" s="62"/>
      <c r="DU25" s="73"/>
      <c r="DV25" s="73"/>
      <c r="DW25" s="75"/>
      <c r="DX25" s="74"/>
      <c r="DY25" s="74"/>
      <c r="DZ25" s="74"/>
      <c r="EA25" s="69"/>
      <c r="EB25" s="69"/>
      <c r="EC25" s="69"/>
      <c r="ED25" s="69"/>
      <c r="EE25" s="69"/>
      <c r="EF25" s="69"/>
      <c r="EG25" s="69"/>
    </row>
    <row r="26" spans="1:137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CV26" s="32"/>
      <c r="CW26" s="7"/>
      <c r="CY26" s="32"/>
      <c r="DB26" s="32"/>
      <c r="DE26" s="32"/>
      <c r="DF26" s="65"/>
      <c r="DG26" s="65"/>
      <c r="DH26" s="65"/>
      <c r="DI26" s="65"/>
      <c r="DJ26" s="65"/>
      <c r="DK26" s="65"/>
      <c r="DL26" s="68"/>
      <c r="DM26" s="68"/>
      <c r="DN26" s="68"/>
      <c r="DO26" s="68"/>
      <c r="DP26" s="68"/>
      <c r="DQ26" s="69"/>
      <c r="DR26" s="64"/>
      <c r="DU26" s="73"/>
      <c r="DV26" s="73"/>
      <c r="DW26" s="75"/>
      <c r="DX26" s="74"/>
      <c r="DY26" s="74"/>
      <c r="DZ26" s="74"/>
      <c r="EA26" s="69"/>
      <c r="EB26" s="69"/>
      <c r="EC26" s="69"/>
      <c r="ED26" s="69"/>
      <c r="EE26" s="69"/>
      <c r="EF26" s="69"/>
      <c r="EG26" s="69"/>
    </row>
    <row r="27" spans="1:137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CV27" s="32"/>
      <c r="CW27" s="7"/>
      <c r="CY27" s="32"/>
      <c r="DB27" s="32"/>
      <c r="DE27" s="32"/>
      <c r="DF27" s="65"/>
      <c r="DG27" s="65"/>
      <c r="DH27" s="65"/>
      <c r="DI27" s="65"/>
      <c r="DJ27" s="65"/>
      <c r="DK27" s="65"/>
      <c r="DL27" s="70"/>
      <c r="DM27" s="68"/>
      <c r="DN27" s="65"/>
      <c r="DO27" s="67"/>
      <c r="DP27" s="65"/>
      <c r="DQ27" s="69"/>
      <c r="DR27" s="62"/>
      <c r="DU27" s="73"/>
      <c r="DV27" s="73"/>
      <c r="DW27" s="75"/>
      <c r="DX27" s="74"/>
      <c r="DY27" s="74"/>
      <c r="DZ27" s="74"/>
      <c r="EA27" s="69"/>
      <c r="EB27" s="69"/>
      <c r="EC27" s="69"/>
      <c r="ED27" s="69"/>
      <c r="EE27" s="69"/>
      <c r="EF27" s="69"/>
      <c r="EG27" s="69"/>
    </row>
    <row r="28" spans="1:137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CV28" s="32"/>
      <c r="CW28" s="7"/>
      <c r="CY28" s="32"/>
      <c r="DB28" s="32"/>
      <c r="DE28" s="32"/>
      <c r="DF28" s="67"/>
      <c r="DG28" s="65"/>
      <c r="DH28" s="67"/>
      <c r="DI28" s="65"/>
      <c r="DJ28" s="67"/>
      <c r="DK28" s="65"/>
      <c r="DL28" s="70"/>
      <c r="DM28" s="68"/>
      <c r="DN28" s="70"/>
      <c r="DO28" s="67"/>
      <c r="DP28" s="68"/>
      <c r="DQ28" s="71"/>
      <c r="DR28" s="64"/>
      <c r="DU28" s="73"/>
      <c r="DV28" s="73"/>
      <c r="DW28" s="75"/>
      <c r="DX28" s="74"/>
      <c r="DY28" s="74"/>
      <c r="DZ28" s="74"/>
      <c r="EA28" s="69"/>
      <c r="EB28" s="69"/>
      <c r="EC28" s="69"/>
      <c r="ED28" s="69"/>
      <c r="EE28" s="69"/>
      <c r="EF28" s="69"/>
      <c r="EG28" s="69"/>
    </row>
    <row r="29" spans="1:137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CV29" s="32"/>
      <c r="DF29" s="65"/>
      <c r="DG29" s="65"/>
      <c r="DH29" s="65"/>
      <c r="DI29" s="65"/>
      <c r="DJ29" s="65"/>
      <c r="DK29" s="65"/>
      <c r="DL29" s="70"/>
      <c r="DM29" s="68"/>
      <c r="DN29" s="65"/>
      <c r="DO29" s="67"/>
      <c r="DP29" s="65"/>
      <c r="DQ29" s="71"/>
      <c r="DR29" s="62"/>
      <c r="DU29" s="73"/>
      <c r="DV29" s="73"/>
      <c r="DW29" s="75"/>
      <c r="DX29" s="74"/>
      <c r="DY29" s="74"/>
      <c r="DZ29" s="74"/>
      <c r="EA29" s="69"/>
      <c r="EB29" s="69"/>
      <c r="EC29" s="69"/>
      <c r="ED29" s="69"/>
      <c r="EE29" s="69"/>
      <c r="EF29" s="69"/>
      <c r="EG29" s="69"/>
    </row>
    <row r="30" spans="1:137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DF30" s="65"/>
      <c r="DG30" s="65"/>
      <c r="DH30" s="65"/>
      <c r="DI30" s="65"/>
      <c r="DJ30" s="65"/>
      <c r="DK30" s="65"/>
      <c r="DL30" s="70"/>
      <c r="DM30" s="68"/>
      <c r="DN30" s="65"/>
      <c r="DO30" s="68"/>
      <c r="DP30" s="65"/>
      <c r="DQ30" s="71"/>
      <c r="DR30" s="62"/>
      <c r="DU30" s="73"/>
      <c r="DV30" s="73"/>
      <c r="DW30" s="73"/>
      <c r="DX30" s="73"/>
      <c r="DY30" s="73"/>
      <c r="DZ30" s="73"/>
    </row>
    <row r="31" spans="1:137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DF31" s="65"/>
      <c r="DG31" s="65"/>
      <c r="DH31" s="65"/>
      <c r="DI31" s="65"/>
      <c r="DJ31" s="65"/>
      <c r="DK31" s="65"/>
      <c r="DL31" s="70"/>
      <c r="DM31" s="68"/>
      <c r="DN31" s="65"/>
      <c r="DO31" s="68"/>
      <c r="DP31" s="68"/>
      <c r="DQ31" s="71"/>
      <c r="DR31" s="62"/>
    </row>
    <row r="32" spans="1:137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DF32" s="67"/>
      <c r="DG32" s="65"/>
      <c r="DH32" s="67"/>
      <c r="DI32" s="65"/>
      <c r="DJ32" s="67"/>
      <c r="DK32" s="65"/>
      <c r="DL32" s="65"/>
      <c r="DM32" s="65"/>
      <c r="DN32" s="65"/>
      <c r="DO32" s="68"/>
      <c r="DP32" s="68"/>
      <c r="DQ32" s="71"/>
      <c r="DR32" s="62"/>
    </row>
    <row r="33" spans="1:122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DF33" s="65"/>
      <c r="DG33" s="65"/>
      <c r="DH33" s="65"/>
      <c r="DI33" s="65"/>
      <c r="DJ33" s="65"/>
      <c r="DK33" s="65"/>
      <c r="DL33" s="65"/>
      <c r="DM33" s="65"/>
      <c r="DN33" s="65"/>
      <c r="DO33" s="68"/>
      <c r="DP33" s="68"/>
      <c r="DQ33" s="71"/>
      <c r="DR33" s="62"/>
    </row>
    <row r="34" spans="1:122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DK34" s="61"/>
      <c r="DO34" s="60"/>
      <c r="DP34" s="60"/>
      <c r="DQ34" s="63"/>
      <c r="DR34" s="62"/>
    </row>
    <row r="35" spans="1:122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DO35" s="60"/>
      <c r="DP35" s="60"/>
      <c r="DQ35" s="63"/>
      <c r="DR35" s="62"/>
    </row>
    <row r="36" spans="1:122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DO36" s="60"/>
      <c r="DP36" s="60"/>
      <c r="DQ36" s="63"/>
      <c r="DR36" s="62"/>
    </row>
    <row r="37" spans="1:122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DO37" s="60"/>
      <c r="DP37" s="60"/>
      <c r="DQ37" s="49"/>
      <c r="DR37" s="62"/>
    </row>
    <row r="38" spans="1:122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DO38" s="60"/>
      <c r="DP38" s="60"/>
      <c r="DQ38" s="63"/>
      <c r="DR38" s="62"/>
    </row>
    <row r="39" spans="1:122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DO39" s="60"/>
      <c r="DP39" s="60"/>
      <c r="DQ39" s="59"/>
    </row>
    <row r="40" spans="1:122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DO40" s="60"/>
      <c r="DP40" s="60"/>
      <c r="DQ40" s="59"/>
    </row>
    <row r="41" spans="1:122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DP41" s="60"/>
      <c r="DQ41" s="59"/>
    </row>
    <row r="42" spans="1:122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DQ42" s="59"/>
    </row>
    <row r="43" spans="1:122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DQ43" s="59"/>
    </row>
    <row r="44" spans="1:122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22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22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22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22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</row>
    <row r="53" spans="1:13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</row>
  </sheetData>
  <mergeCells count="12">
    <mergeCell ref="A4:A5"/>
    <mergeCell ref="BJ4:BU4"/>
    <mergeCell ref="AX4:BI4"/>
    <mergeCell ref="B4:M4"/>
    <mergeCell ref="N4:Y4"/>
    <mergeCell ref="Z4:AK4"/>
    <mergeCell ref="AL4:AW4"/>
    <mergeCell ref="CT4:DE4"/>
    <mergeCell ref="DF4:DQ4"/>
    <mergeCell ref="CH4:CS4"/>
    <mergeCell ref="BV4:CG4"/>
    <mergeCell ref="DR4:EA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41E1B845F17D4BA76A5D56FE2A752C" ma:contentTypeVersion="2" ma:contentTypeDescription="Create a new document." ma:contentTypeScope="" ma:versionID="83d17377d408f96022ae6a8705b8ad68">
  <xsd:schema xmlns:xsd="http://www.w3.org/2001/XMLSchema" xmlns:xs="http://www.w3.org/2001/XMLSchema" xmlns:p="http://schemas.microsoft.com/office/2006/metadata/properties" xmlns:ns1="http://schemas.microsoft.com/sharepoint/v3" xmlns:ns2="ebce80bc-31f1-456e-bae0-275749261b0a" xmlns:ns3="7f87c9d7-699b-44c5-bfd8-c1d01b466aef" targetNamespace="http://schemas.microsoft.com/office/2006/metadata/properties" ma:root="true" ma:fieldsID="2e3ac6b8da9737f36725a203cb717209" ns1:_="" ns2:_="" ns3:_="">
    <xsd:import namespace="http://schemas.microsoft.com/sharepoint/v3"/>
    <xsd:import namespace="ebce80bc-31f1-456e-bae0-275749261b0a"/>
    <xsd:import namespace="7f87c9d7-699b-44c5-bfd8-c1d01b466ae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e80bc-31f1-456e-bae0-275749261b0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87c9d7-699b-44c5-bfd8-c1d01b466ae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bce80bc-31f1-456e-bae0-275749261b0a">MKH52Q7RF5JS-1303391851-2420</_dlc_DocId>
    <_dlc_DocIdUrl xmlns="ebce80bc-31f1-456e-bae0-275749261b0a">
      <Url>https://deps.intra.gov.bn/divisions/DOS/_layouts/15/DocIdRedir.aspx?ID=MKH52Q7RF5JS-1303391851-2420</Url>
      <Description>MKH52Q7RF5JS-1303391851-2420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AF1A2FE-B710-41CD-8870-D8D185E3D05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65B1C5-5614-4E0B-A0D0-B47E1121AA1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22035BD3-DFBC-4330-8495-8AC6824EF7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bce80bc-31f1-456e-bae0-275749261b0a"/>
    <ds:schemaRef ds:uri="7f87c9d7-699b-44c5-bfd8-c1d01b466a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E17A233-6696-404A-95DE-E9C0530D3F9C}">
  <ds:schemaRefs>
    <ds:schemaRef ds:uri="http://schemas.openxmlformats.org/package/2006/metadata/core-properties"/>
    <ds:schemaRef ds:uri="3eb395c1-c26a-485a-a474-2edaaa77b21c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dcmitype/"/>
    <ds:schemaRef ds:uri="http://www.w3.org/XML/1998/namespace"/>
    <ds:schemaRef ds:uri="http://schemas.microsoft.com/office/2006/metadata/properties"/>
    <ds:schemaRef ds:uri="http://purl.org/dc/terms/"/>
    <ds:schemaRef ds:uri="ebce80bc-31f1-456e-bae0-275749261b0a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Metadata</vt:lpstr>
      <vt:lpstr>Data</vt:lpstr>
    </vt:vector>
  </TitlesOfParts>
  <Company>E-Government National Centre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JPES,MOFE</dc:creator>
  <cp:lastModifiedBy>Mohammad Amirul Azrie bin Mohammad Ali</cp:lastModifiedBy>
  <dcterms:created xsi:type="dcterms:W3CDTF">2019-01-09T06:26:22Z</dcterms:created>
  <dcterms:modified xsi:type="dcterms:W3CDTF">2026-01-05T07:28:58Z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0x0101000541E1B845F17D4BA76A5D56FE2A752C</vt:lpwstr>
  </property>
  <property fmtid="{D5CDD505-2E9C-101B-9397-08002B2CF9AE}" pid="3" name="_dlc_DocIdItemGuid">
    <vt:lpwstr>f7f7052a-23dc-4625-8723-10c2212b5653</vt:lpwstr>
  </property>
</Properties>
</file>